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'07'!$A$1:$T$71</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<sst xmlns="http://schemas.openxmlformats.org/spreadsheetml/2006/main" count="1098" uniqueCount="493">
  <si>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</si>
  <si>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</si>
  <si>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</si>
  <si>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</si>
  <si>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</si>
  <si>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</si>
  <si>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</si>
  <si>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</si>
  <si>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</si>
  <si>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</si>
  <si>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</si>
  <si>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</si>
  <si>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</si>
  <si>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</si>
  <si>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</si>
  <si>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</si>
  <si>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</si>
  <si>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</si>
  <si>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</si>
  <si>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</si>
  <si>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</si>
  <si>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</si>
  <si>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</si>
  <si>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</si>
  <si>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</si>
  <si>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</si>
  <si>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</si>
  <si>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</si>
  <si>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</si>
  <si>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</si>
  <si>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</si>
  <si>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</si>
  <si>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</si>
  <si>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</si>
  <si>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</si>
  <si>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</si>
  <si>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</si>
  <si>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</si>
  <si>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</si>
  <si>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</si>
  <si>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</si>
  <si>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</si>
  <si>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</si>
  <si>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</si>
  <si>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</si>
  <si>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</si>
  <si>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</si>
  <si>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</si>
  <si>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</si>
  <si>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</si>
  <si>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</si>
  <si>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</si>
  <si>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</si>
  <si>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</si>
  <si>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</si>
  <si>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</si>
  <si>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</si>
  <si>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</si>
  <si>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</si>
  <si>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</si>
  <si>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</si>
  <si>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</si>
  <si>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</si>
  <si>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</si>
  <si>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</si>
  <si>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</si>
  <si>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</si>
  <si>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</si>
  <si>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</si>
  <si>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</si>
  <si>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</si>
  <si>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</si>
  <si>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</si>
  <si>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</si>
  <si>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</si>
  <si>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</si>
  <si>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</si>
  <si>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</si>
  <si>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</si>
  <si>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</si>
  <si>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</si>
  <si>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</si>
  <si>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</si>
  <si>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</si>
  <si>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</si>
  <si>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</si>
  <si>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</si>
  <si>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</si>
  <si>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</si>
  <si>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</si>
  <si>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</si>
  <si>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</si>
  <si>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</si>
  <si>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</si>
  <si>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</si>
  <si>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</si>
  <si>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</si>
  <si>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</si>
  <si>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</si>
  <si>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</si>
  <si>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</si>
  <si>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</si>
  <si>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</si>
  <si>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</si>
  <si>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</si>
  <si>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</si>
  <si>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</si>
  <si>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</si>
  <si>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</si>
  <si>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</si>
  <si>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</si>
  <si>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</si>
  <si>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</si>
  <si>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</si>
  <si>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</si>
  <si>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</si>
  <si>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</si>
  <si>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</si>
  <si>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</si>
  <si>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</si>
  <si>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</si>
  <si>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</si>
  <si>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</si>
  <si>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</si>
  <si>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</si>
  <si>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</si>
  <si>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</si>
  <si>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</si>
  <si>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</si>
  <si>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</si>
  <si>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</si>
  <si>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</si>
  <si>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</si>
  <si>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</si>
  <si>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</si>
  <si>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</si>
  <si>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</si>
  <si>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</si>
  <si>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</si>
  <si>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</si>
  <si>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</si>
  <si>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</si>
  <si>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</si>
  <si>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</si>
  <si>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</si>
  <si>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</si>
  <si>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</si>
  <si>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</si>
  <si>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</si>
  <si>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</si>
  <si>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</si>
  <si>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</si>
  <si>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</si>
  <si>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</si>
  <si>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</si>
  <si>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</si>
  <si>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</si>
  <si>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</si>
  <si>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</si>
  <si>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</si>
  <si>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</si>
  <si>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</si>
  <si>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</si>
  <si>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</si>
  <si>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</si>
  <si>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</si>
  <si>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</si>
  <si>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</si>
  <si>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</si>
  <si>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</si>
  <si>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</si>
  <si>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</si>
  <si>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</si>
  <si>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</si>
  <si>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</si>
  <si>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</si>
  <si>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</si>
  <si>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</si>
  <si>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</si>
  <si>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</si>
  <si>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</si>
  <si>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</si>
  <si>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</si>
  <si>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</si>
  <si>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</si>
  <si>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</si>
  <si>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</si>
  <si>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</si>
  <si>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</si>
  <si>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</si>
  <si>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</si>
  <si>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</si>
  <si>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</si>
  <si>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</si>
  <si>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</si>
  <si>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</si>
  <si>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</si>
  <si>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</si>
  <si>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</si>
  <si>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</si>
  <si>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</si>
  <si>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</si>
  <si>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</si>
  <si>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</si>
  <si>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</si>
  <si>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</si>
  <si>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</si>
  <si>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</si>
  <si>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</si>
  <si>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</si>
  <si>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</si>
  <si>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</si>
  <si>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</si>
  <si>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</si>
  <si>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</si>
  <si>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</si>
  <si>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</si>
  <si>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</si>
  <si>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</si>
  <si>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</si>
  <si>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</si>
  <si>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</si>
  <si>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</si>
  <si>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</si>
  <si>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</si>
  <si>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</si>
  <si>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</si>
  <si>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</si>
  <si>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</si>
  <si>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</si>
  <si>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</si>
  <si>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</si>
  <si>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</si>
  <si>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</si>
  <si>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</si>
  <si>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</si>
  <si>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</si>
  <si>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</si>
  <si>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</si>
  <si>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</si>
  <si>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</si>
  <si>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</si>
  <si>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</si>
  <si>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</si>
  <si>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</si>
  <si>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</si>
  <si>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</si>
  <si>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</si>
  <si>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</si>
  <si>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</si>
  <si>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</si>
  <si>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</si>
  <si>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</si>
  <si>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</si>
  <si>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</si>
  <si>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</si>
  <si>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</si>
  <si>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</si>
  <si>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</si>
  <si>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</si>
  <si>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</si>
  <si>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</si>
  <si>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</si>
  <si>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</si>
  <si>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</si>
  <si>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</si>
  <si>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</si>
  <si>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</si>
  <si>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</si>
  <si>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</si>
  <si>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</si>
  <si>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</si>
  <si>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</si>
  <si>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</si>
  <si>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</si>
  <si>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</si>
  <si>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</si>
  <si>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</si>
  <si>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</si>
  <si>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</si>
  <si>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</si>
  <si>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</si>
  <si>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</si>
  <si>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</si>
  <si>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</si>
  <si>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</si>
  <si>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</si>
  <si>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</si>
  <si>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</si>
  <si>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</si>
  <si>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</si>
  <si>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</si>
  <si>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</si>
  <si>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</si>
  <si>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</si>
  <si>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</si>
  <si>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</si>
  <si>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</si>
  <si>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</si>
  <si>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</si>
  <si>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</si>
  <si>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</si>
  <si>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</si>
  <si>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</si>
  <si>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</si>
  <si>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</si>
  <si>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</si>
  <si>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</si>
  <si>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</si>
  <si>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</si>
  <si>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</si>
  <si>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</si>
  <si>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</si>
  <si>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</si>
  <si>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</si>
  <si>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</si>
  <si>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</si>
  <si>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</si>
  <si>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</si>
  <si>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</si>
  <si>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</si>
  <si>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</si>
  <si>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</si>
  <si>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</si>
  <si>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</si>
  <si>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</si>
  <si>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</si>
  <si>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</si>
  <si>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</si>
  <si>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</si>
  <si>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</si>
  <si>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</si>
  <si>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</si>
  <si>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</si>
  <si>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</si>
  <si>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</si>
  <si>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</si>
  <si>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</si>
  <si>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</si>
  <si>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</si>
  <si>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</si>
  <si>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</si>
  <si>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</si>
  <si>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</si>
  <si>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</si>
  <si>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</si>
  <si>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</si>
  <si>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</si>
  <si>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</si>
  <si>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</si>
  <si>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</si>
  <si>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</si>
  <si>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</si>
  <si>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</si>
  <si>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</si>
  <si>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</si>
  <si>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</si>
  <si>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</si>
  <si>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</si>
  <si>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</si>
  <si>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</si>
  <si>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</si>
  <si>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</si>
  <si>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</si>
  <si>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</si>
  <si>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</si>
  <si>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</si>
  <si>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</si>
  <si>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</si>
  <si>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</si>
  <si>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</si>
  <si>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</si>
  <si>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</si>
  <si>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</si>
  <si>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</si>
  <si>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</si>
  <si>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</si>
  <si>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</si>
  <si>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</si>
  <si>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</si>
  <si>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</si>
  <si>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</si>
  <si>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</si>
  <si>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</si>
  <si>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</si>
  <si>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</si>
  <si>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</si>
  <si>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</si>
  <si>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</si>
  <si>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</si>
  <si>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</si>
  <si>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</si>
  <si>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</si>
  <si>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</si>
  <si>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</si>
  <si>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</si>
  <si>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</si>
  <si>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</si>
  <si>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</si>
  <si>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</si>
  <si>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</si>
  <si>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</si>
  <si>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</si>
  <si>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</si>
  <si>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</si>
  <si>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</si>
  <si>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</si>
  <si>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</si>
  <si>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</si>
  <si>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</si>
  <si>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</si>
  <si>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</si>
  <si>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</si>
  <si>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</si>
  <si>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</si>
  <si>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</si>
  <si>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</si>
  <si>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</si>
  <si>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</si>
  <si>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</si>
  <si>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</si>
  <si>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</si>
  <si>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</si>
  <si>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</si>
  <si>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</si>
  <si>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</si>
  <si>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</si>
  <si>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</si>
  <si>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</si>
  <si>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</si>
  <si>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</si>
  <si>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</si>
  <si>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</si>
  <si>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</si>
  <si>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</si>
  <si>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</si>
  <si>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</si>
  <si>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</si>
  <si>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</si>
  <si>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</si>
  <si>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</si>
  <si>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Nguyễn Hồng Nghị</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</si>
  <si>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</si>
  <si>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</si>
  <si>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</si>
  <si>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</si>
  <si>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</si>
  <si>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</si>
  <si>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</si>
  <si>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</si>
  <si>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</si>
  <si>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</si>
  <si>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</si>
  <si>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</si>
  <si>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</si>
  <si>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</si>
  <si>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</si>
  <si>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</si>
  <si>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</si>
  <si>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</si>
  <si>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</si>
  <si>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</si>
  <si>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</si>
  <si>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</si>
  <si>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</si>
  <si>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</si>
  <si>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</si>
  <si>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</si>
  <si>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Phạm Đức thắng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</si>
  <si>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</si>
  <si>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</si>
  <si>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</si>
  <si>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</si>
  <si>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</si>
  <si>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</si>
  <si>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(Ghi chú: Cột số 5, 7 việc  Cục THADS tỉnh rút lên đã cộng vào thụ lý mới của Cục và giảm trừ vào số việc năm trước chuyển sang của Chi Cục THADS huyện Chiêm Hóa)</t>
  </si>
  <si>
    <t>Nguyễn Hồng Nghị</t>
  </si>
  <si>
    <t>Hà Ích Đạt</t>
  </si>
  <si>
    <t>Phạm Đức Thắng</t>
  </si>
  <si>
    <t>(Ghi chú: Cột số 5, số tiền 570,000,000đ Cục THADS tỉnh rút lên đã cộng vào thụ lý mới của Cục và giảm trừ số tiền năm trước chuyển sang của Chi Cục THADS huyện Chiêm Hóa)</t>
  </si>
  <si>
    <t xml:space="preserve">Hoàng Quang Hà </t>
  </si>
  <si>
    <t xml:space="preserve">Nguyễn Văn Quế </t>
  </si>
  <si>
    <t>11 tháng / năm 2017</t>
  </si>
  <si>
    <t>Tuyên Quang, ngày 01  tháng 9  năm 2017</t>
  </si>
  <si>
    <t>Tỷ lệ 
có điều kiện/tổng số phải thi hành</t>
  </si>
  <si>
    <t>Tỷ lệ giảm án tồn có điều kiện
chuyển kỳ sau/số có điều kiện năm 2016 chuyển sang 2017</t>
  </si>
  <si>
    <t>Tổng thụ lý 
tăng (giảm)
so cùng kỳ</t>
  </si>
  <si>
    <t>Thụ lý mới 
tăng (giảm)
so cùng kỳ</t>
  </si>
  <si>
    <t>Tổng phải thi hành
 tăng (giảm)
 so cùng kỳ</t>
  </si>
  <si>
    <t>Tổng có điều kiện
 tăng (giảm) 
so cùng kỳ</t>
  </si>
  <si>
    <t>Thi hành xong 
tăng (giảm) 
so cùng kỳ</t>
  </si>
  <si>
    <t>Tỷ lệ 
có điều kiện/Tổng số phải thi hành</t>
  </si>
  <si>
    <t>Tỷ lệ giảm số tiền 
có điều kiện chuyển kỳ sau/số có điều kiện năm 2016 chuyển sang 2017</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</si>
</sst>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4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8"/>
      <name val=".VnTime"/>
      <family val="2"/>
    </font>
    <font>
      <b/>
      <sz val="9"/>
      <color indexed="14"/>
      <name val="Times New Roman"/>
      <family val="1"/>
    </font>
    <font>
      <sz val="9"/>
      <name val=".VnTime"/>
      <family val="2"/>
    </font>
    <font>
      <b/>
      <sz val="8"/>
      <name val="Times New Roman"/>
      <family val="1"/>
    </font>
    <font>
      <sz val="10"/>
      <color indexed="8"/>
      <name val="Times New Roman"/>
      <family val="1"/>
    </font>
    <font>
      <sz val="12"/>
      <color indexed="8"/>
      <name val="Times New Roman"/>
      <family val="1"/>
    </font>
    <font>
      <b/>
      <sz val="10"/>
      <color indexed="8"/>
      <name val="Times New Roman"/>
      <family val="1"/>
    </font>
    <font>
      <sz val="10"/>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theme="1"/>
      <name val="Times New Roman"/>
      <family val="1"/>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7" tint="0.39998000860214233"/>
        <bgColor indexed="64"/>
      </patternFill>
    </fill>
    <fill>
      <patternFill patternType="solid">
        <fgColor indexed="40"/>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rgb="FFFFC000"/>
        <bgColor indexed="64"/>
      </patternFill>
    </fill>
    <fill>
      <patternFill patternType="solid">
        <fgColor rgb="FF00B0F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double"/>
      <right>
        <color indexed="63"/>
      </right>
      <top>
        <color indexed="63"/>
      </top>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8"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8"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8"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8"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8"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8"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8"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9"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9"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9"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9"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9"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9"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9"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0"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1"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39" borderId="3" applyNumberFormat="0" applyAlignment="0" applyProtection="0"/>
    <xf numFmtId="0" fontId="39" fillId="40" borderId="4" applyNumberFormat="0" applyAlignment="0" applyProtection="0"/>
    <xf numFmtId="0" fontId="39" fillId="40" borderId="4" applyNumberFormat="0" applyAlignment="0" applyProtection="0"/>
    <xf numFmtId="0" fontId="1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4"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5"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6"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7"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8" fillId="42" borderId="1" applyNumberFormat="0" applyAlignment="0" applyProtection="0"/>
    <xf numFmtId="0" fontId="45" fillId="9" borderId="2" applyNumberFormat="0" applyAlignment="0" applyProtection="0"/>
    <xf numFmtId="0" fontId="45" fillId="9" borderId="2" applyNumberFormat="0" applyAlignment="0" applyProtection="0"/>
    <xf numFmtId="0" fontId="139"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0"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1"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3"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37">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3"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right" vertical="center"/>
      <protection/>
    </xf>
    <xf numFmtId="194" fontId="104"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locked="0"/>
    </xf>
    <xf numFmtId="0" fontId="5" fillId="0" borderId="20"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horizontal="left" vertical="center"/>
      <protection locked="0"/>
    </xf>
    <xf numFmtId="3" fontId="4" fillId="0" borderId="20" xfId="0" applyNumberFormat="1" applyFont="1" applyFill="1" applyBorder="1" applyAlignment="1" applyProtection="1">
      <alignment horizontal="right" vertical="center"/>
      <protection/>
    </xf>
    <xf numFmtId="0" fontId="103" fillId="0"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213" fontId="5" fillId="47" borderId="20" xfId="0" applyNumberFormat="1" applyFont="1" applyFill="1" applyBorder="1" applyAlignment="1" applyProtection="1">
      <alignment horizontal="right" vertical="center"/>
      <protection locked="0"/>
    </xf>
    <xf numFmtId="213" fontId="5" fillId="47" borderId="20" xfId="147"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107"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3" fontId="108" fillId="47" borderId="20" xfId="0" applyNumberFormat="1" applyFont="1" applyFill="1" applyBorder="1" applyAlignment="1" applyProtection="1">
      <alignment horizontal="right" vertical="center"/>
      <protection/>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right" vertical="center"/>
      <protection locked="0"/>
    </xf>
    <xf numFmtId="3" fontId="24" fillId="0" borderId="20" xfId="146" applyNumberFormat="1" applyFont="1" applyFill="1" applyBorder="1" applyAlignment="1" applyProtection="1">
      <alignment horizontal="right" vertical="center"/>
      <protection/>
    </xf>
    <xf numFmtId="3" fontId="5" fillId="0" borderId="20" xfId="135" applyNumberFormat="1" applyFont="1" applyFill="1" applyBorder="1" applyAlignment="1" applyProtection="1">
      <alignment horizontal="right" vertical="center"/>
      <protection/>
    </xf>
    <xf numFmtId="194" fontId="0" fillId="0" borderId="0" xfId="93" applyNumberFormat="1" applyFont="1" applyFill="1" applyBorder="1" applyAlignment="1" applyProtection="1">
      <alignment vertical="center"/>
      <protection/>
    </xf>
    <xf numFmtId="213" fontId="5" fillId="47" borderId="20" xfId="0" applyNumberFormat="1" applyFont="1" applyFill="1" applyBorder="1" applyAlignment="1" applyProtection="1">
      <alignment horizontal="right" vertical="center"/>
      <protection locked="0"/>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9" fontId="5" fillId="0" borderId="20" xfId="93" applyNumberFormat="1" applyFont="1" applyFill="1" applyBorder="1" applyAlignment="1" applyProtection="1">
      <alignment horizontal="right" vertical="center" wrapText="1"/>
      <protection/>
    </xf>
    <xf numFmtId="194" fontId="6" fillId="50" borderId="26" xfId="93" applyNumberFormat="1" applyFont="1" applyFill="1" applyBorder="1" applyAlignment="1" applyProtection="1">
      <alignment horizontal="left" vertical="center" wrapText="1"/>
      <protection locked="0"/>
    </xf>
    <xf numFmtId="194" fontId="6" fillId="50" borderId="20" xfId="93" applyNumberFormat="1" applyFont="1" applyFill="1" applyBorder="1" applyAlignment="1" applyProtection="1">
      <alignment horizontal="right" vertical="center" wrapText="1"/>
      <protection/>
    </xf>
    <xf numFmtId="194" fontId="6" fillId="50" borderId="20" xfId="93" applyNumberFormat="1" applyFont="1" applyFill="1" applyBorder="1" applyAlignment="1" applyProtection="1">
      <alignment vertical="center" wrapText="1"/>
      <protection/>
    </xf>
    <xf numFmtId="9" fontId="6" fillId="50" borderId="20" xfId="93" applyNumberFormat="1" applyFont="1" applyFill="1" applyBorder="1" applyAlignment="1" applyProtection="1">
      <alignment horizontal="right" vertical="center" wrapText="1"/>
      <protection/>
    </xf>
    <xf numFmtId="194" fontId="6" fillId="50" borderId="26" xfId="93" applyNumberFormat="1" applyFont="1" applyFill="1" applyBorder="1" applyAlignment="1" applyProtection="1">
      <alignment vertical="center" wrapText="1"/>
      <protection locked="0"/>
    </xf>
    <xf numFmtId="194" fontId="12" fillId="50" borderId="20" xfId="93" applyNumberFormat="1" applyFont="1" applyFill="1" applyBorder="1" applyAlignment="1" applyProtection="1">
      <alignment horizontal="right" vertical="center" wrapText="1"/>
      <protection/>
    </xf>
    <xf numFmtId="194" fontId="6" fillId="50" borderId="20" xfId="93" applyNumberFormat="1" applyFont="1" applyFill="1" applyBorder="1" applyAlignment="1" applyProtection="1">
      <alignment vertical="center" wrapText="1"/>
      <protection/>
    </xf>
    <xf numFmtId="3" fontId="7" fillId="50" borderId="20" xfId="135" applyNumberFormat="1" applyFont="1" applyFill="1" applyBorder="1" applyAlignment="1" applyProtection="1">
      <alignment horizontal="right" vertical="center"/>
      <protection/>
    </xf>
    <xf numFmtId="194" fontId="12" fillId="50" borderId="20" xfId="93" applyNumberFormat="1" applyFont="1" applyFill="1" applyBorder="1" applyAlignment="1" applyProtection="1">
      <alignment vertical="center" wrapText="1"/>
      <protection/>
    </xf>
    <xf numFmtId="49" fontId="7" fillId="50" borderId="20" xfId="135" applyNumberFormat="1" applyFont="1" applyFill="1" applyBorder="1" applyAlignment="1">
      <alignment vertical="center" wrapText="1"/>
      <protection/>
    </xf>
    <xf numFmtId="49" fontId="7" fillId="50" borderId="20" xfId="0" applyNumberFormat="1" applyFont="1" applyFill="1" applyBorder="1" applyAlignment="1" applyProtection="1">
      <alignment vertical="center"/>
      <protection/>
    </xf>
    <xf numFmtId="194" fontId="6" fillId="34" borderId="20" xfId="93" applyNumberFormat="1" applyFont="1" applyFill="1" applyBorder="1" applyAlignment="1" applyProtection="1">
      <alignment horizontal="right" vertical="center" wrapText="1"/>
      <protection/>
    </xf>
    <xf numFmtId="9" fontId="6" fillId="34" borderId="20" xfId="93" applyNumberFormat="1" applyFont="1" applyFill="1" applyBorder="1" applyAlignment="1" applyProtection="1">
      <alignment horizontal="right" vertical="center" wrapText="1"/>
      <protection/>
    </xf>
    <xf numFmtId="194" fontId="12" fillId="34" borderId="20" xfId="93" applyNumberFormat="1" applyFont="1" applyFill="1" applyBorder="1" applyAlignment="1" applyProtection="1">
      <alignment vertical="center"/>
      <protection/>
    </xf>
    <xf numFmtId="9" fontId="12" fillId="34" borderId="20" xfId="146" applyNumberFormat="1" applyFont="1" applyFill="1" applyBorder="1" applyAlignment="1" applyProtection="1">
      <alignment vertical="center"/>
      <protection/>
    </xf>
    <xf numFmtId="194" fontId="12" fillId="51" borderId="26" xfId="93" applyNumberFormat="1" applyFont="1" applyFill="1" applyBorder="1" applyAlignment="1" applyProtection="1">
      <alignment horizontal="left" vertical="center" wrapText="1"/>
      <protection locked="0"/>
    </xf>
    <xf numFmtId="194" fontId="12" fillId="51" borderId="20" xfId="93" applyNumberFormat="1" applyFont="1" applyFill="1" applyBorder="1" applyAlignment="1" applyProtection="1">
      <alignment vertical="center"/>
      <protection/>
    </xf>
    <xf numFmtId="9" fontId="12" fillId="51" borderId="20" xfId="146"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center" vertical="center"/>
      <protection locked="0"/>
    </xf>
    <xf numFmtId="194" fontId="106" fillId="51" borderId="20" xfId="93" applyNumberFormat="1" applyFont="1" applyFill="1" applyBorder="1" applyAlignment="1" applyProtection="1">
      <alignment vertical="center"/>
      <protection/>
    </xf>
    <xf numFmtId="194" fontId="106" fillId="51" borderId="20" xfId="93" applyNumberFormat="1" applyFont="1" applyFill="1" applyBorder="1" applyAlignment="1" applyProtection="1">
      <alignment horizontal="right" vertical="center"/>
      <protection/>
    </xf>
    <xf numFmtId="9" fontId="106" fillId="51" borderId="20" xfId="146"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right" vertical="center"/>
      <protection/>
    </xf>
    <xf numFmtId="3" fontId="109" fillId="51" borderId="20" xfId="0" applyNumberFormat="1" applyFont="1" applyFill="1" applyBorder="1" applyAlignment="1" applyProtection="1">
      <alignment horizontal="right" vertical="center"/>
      <protection/>
    </xf>
    <xf numFmtId="3" fontId="1" fillId="47" borderId="20" xfId="0" applyNumberFormat="1" applyFont="1" applyFill="1" applyBorder="1" applyAlignment="1" applyProtection="1">
      <alignment horizontal="right" vertical="center"/>
      <protection/>
    </xf>
    <xf numFmtId="3" fontId="1" fillId="47" borderId="20" xfId="146" applyNumberFormat="1" applyFont="1" applyFill="1" applyBorder="1" applyAlignment="1" applyProtection="1">
      <alignment horizontal="right" vertical="center"/>
      <protection/>
    </xf>
    <xf numFmtId="0" fontId="145" fillId="47" borderId="20" xfId="0" applyFont="1" applyFill="1" applyBorder="1" applyAlignment="1" applyProtection="1">
      <alignment vertical="center"/>
      <protection locked="0"/>
    </xf>
    <xf numFmtId="0" fontId="5" fillId="47"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210" fontId="24" fillId="0" borderId="20" xfId="0" applyNumberFormat="1" applyFont="1" applyFill="1" applyBorder="1" applyAlignment="1" applyProtection="1">
      <alignment horizontal="right" vertical="center"/>
      <protection locked="0"/>
    </xf>
    <xf numFmtId="3" fontId="5" fillId="47" borderId="21" xfId="0" applyNumberFormat="1" applyFont="1" applyFill="1" applyBorder="1" applyAlignment="1" applyProtection="1">
      <alignment horizontal="right" vertical="center"/>
      <protection/>
    </xf>
    <xf numFmtId="3" fontId="5" fillId="47" borderId="21" xfId="146" applyNumberFormat="1" applyFont="1" applyFill="1" applyBorder="1" applyAlignment="1" applyProtection="1">
      <alignment horizontal="right" vertical="center"/>
      <protection/>
    </xf>
    <xf numFmtId="3" fontId="5" fillId="47" borderId="21" xfId="0" applyNumberFormat="1" applyFont="1" applyFill="1" applyBorder="1" applyAlignment="1">
      <alignment horizontal="right"/>
    </xf>
    <xf numFmtId="3" fontId="24" fillId="47" borderId="20" xfId="0" applyNumberFormat="1" applyFont="1" applyFill="1" applyBorder="1" applyAlignment="1" applyProtection="1">
      <alignment horizontal="center" vertical="center"/>
      <protection/>
    </xf>
    <xf numFmtId="3" fontId="24" fillId="47" borderId="21" xfId="0" applyNumberFormat="1" applyFont="1" applyFill="1" applyBorder="1" applyAlignment="1" applyProtection="1">
      <alignment horizontal="center" vertical="center"/>
      <protection/>
    </xf>
    <xf numFmtId="3" fontId="24" fillId="47" borderId="20" xfId="146"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3" fontId="24" fillId="47" borderId="21" xfId="146" applyNumberFormat="1" applyFont="1" applyFill="1" applyBorder="1" applyAlignment="1" applyProtection="1">
      <alignment horizontal="center" vertical="center"/>
      <protection/>
    </xf>
    <xf numFmtId="3" fontId="24" fillId="47" borderId="21" xfId="0" applyNumberFormat="1" applyFont="1" applyFill="1" applyBorder="1" applyAlignment="1">
      <alignment horizontal="center" vertical="center"/>
    </xf>
    <xf numFmtId="3" fontId="5" fillId="47" borderId="20" xfId="0" applyNumberFormat="1" applyFont="1" applyFill="1" applyBorder="1" applyAlignment="1" applyProtection="1">
      <alignment horizontal="right" vertical="center"/>
      <protection locked="0"/>
    </xf>
    <xf numFmtId="3" fontId="5" fillId="47" borderId="20" xfId="147" applyNumberFormat="1" applyFont="1" applyFill="1" applyBorder="1" applyAlignment="1" applyProtection="1">
      <alignment horizontal="right" vertical="center"/>
      <protection locked="0"/>
    </xf>
    <xf numFmtId="3" fontId="107" fillId="47" borderId="20" xfId="146" applyNumberFormat="1" applyFont="1" applyFill="1" applyBorder="1" applyAlignment="1" applyProtection="1">
      <alignment horizontal="right" vertical="center"/>
      <protection/>
    </xf>
    <xf numFmtId="3" fontId="107" fillId="47" borderId="20" xfId="0" applyNumberFormat="1" applyFont="1" applyFill="1" applyBorder="1" applyAlignment="1">
      <alignment horizontal="right"/>
    </xf>
    <xf numFmtId="3" fontId="107" fillId="47" borderId="20"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horizontal="right" vertical="center"/>
      <protection locked="0"/>
    </xf>
    <xf numFmtId="3" fontId="68"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locked="0"/>
    </xf>
    <xf numFmtId="3" fontId="110" fillId="47" borderId="20" xfId="0" applyNumberFormat="1" applyFont="1" applyFill="1" applyBorder="1" applyAlignment="1" applyProtection="1">
      <alignment horizontal="right" vertical="center"/>
      <protection/>
    </xf>
    <xf numFmtId="3" fontId="5" fillId="52" borderId="20" xfId="0" applyNumberFormat="1" applyFont="1" applyFill="1" applyBorder="1" applyAlignment="1" applyProtection="1">
      <alignment horizontal="right"/>
      <protection/>
    </xf>
    <xf numFmtId="3" fontId="5" fillId="52" borderId="20" xfId="0" applyNumberFormat="1" applyFont="1" applyFill="1" applyBorder="1" applyAlignment="1" applyProtection="1">
      <alignment horizontal="right" vertical="center"/>
      <protection/>
    </xf>
    <xf numFmtId="0" fontId="5" fillId="52" borderId="20" xfId="0" applyNumberFormat="1" applyFont="1" applyFill="1" applyBorder="1" applyAlignment="1" applyProtection="1">
      <alignment horizontal="right" vertical="center"/>
      <protection/>
    </xf>
    <xf numFmtId="213" fontId="6" fillId="52" borderId="20" xfId="0" applyNumberFormat="1" applyFont="1" applyFill="1" applyBorder="1" applyAlignment="1" applyProtection="1">
      <alignment horizontal="right"/>
      <protection/>
    </xf>
    <xf numFmtId="9" fontId="6" fillId="53" borderId="20" xfId="93" applyNumberFormat="1" applyFont="1" applyFill="1" applyBorder="1" applyAlignment="1" applyProtection="1">
      <alignment horizontal="right" vertical="center" wrapText="1"/>
      <protection/>
    </xf>
    <xf numFmtId="10" fontId="6" fillId="53" borderId="0" xfId="0" applyNumberFormat="1" applyFont="1" applyFill="1" applyAlignment="1">
      <alignment vertical="center"/>
    </xf>
    <xf numFmtId="10" fontId="6" fillId="34" borderId="0" xfId="0" applyNumberFormat="1" applyFont="1" applyFill="1" applyAlignment="1">
      <alignment vertical="center"/>
    </xf>
    <xf numFmtId="9" fontId="6" fillId="26" borderId="20" xfId="93" applyNumberFormat="1" applyFont="1" applyFill="1" applyBorder="1" applyAlignment="1" applyProtection="1">
      <alignment horizontal="right" vertical="center" wrapText="1"/>
      <protection/>
    </xf>
    <xf numFmtId="10" fontId="6" fillId="26" borderId="0" xfId="0" applyNumberFormat="1" applyFont="1" applyFill="1" applyAlignment="1">
      <alignment vertical="center"/>
    </xf>
    <xf numFmtId="9" fontId="6" fillId="54" borderId="20" xfId="93" applyNumberFormat="1" applyFont="1" applyFill="1" applyBorder="1" applyAlignment="1" applyProtection="1">
      <alignment horizontal="right" vertical="center" wrapText="1"/>
      <protection/>
    </xf>
    <xf numFmtId="10" fontId="6" fillId="54" borderId="0" xfId="0" applyNumberFormat="1" applyFont="1" applyFill="1" applyAlignment="1">
      <alignment vertical="center"/>
    </xf>
    <xf numFmtId="9" fontId="6" fillId="55" borderId="20" xfId="93" applyNumberFormat="1" applyFont="1" applyFill="1" applyBorder="1" applyAlignment="1" applyProtection="1">
      <alignment horizontal="right" vertical="center" wrapText="1"/>
      <protection/>
    </xf>
    <xf numFmtId="10" fontId="6" fillId="56" borderId="0" xfId="0" applyNumberFormat="1" applyFont="1" applyFill="1" applyAlignment="1">
      <alignment vertical="center"/>
    </xf>
    <xf numFmtId="9" fontId="6" fillId="16" borderId="20" xfId="93" applyNumberFormat="1" applyFont="1" applyFill="1" applyBorder="1" applyAlignment="1" applyProtection="1">
      <alignment horizontal="right" vertical="center" wrapText="1"/>
      <protection/>
    </xf>
    <xf numFmtId="10" fontId="6" fillId="16" borderId="0" xfId="0" applyNumberFormat="1" applyFont="1" applyFill="1" applyAlignment="1">
      <alignment vertical="center"/>
    </xf>
    <xf numFmtId="9" fontId="6" fillId="57" borderId="20" xfId="93" applyNumberFormat="1" applyFont="1" applyFill="1" applyBorder="1" applyAlignment="1" applyProtection="1">
      <alignment horizontal="right" vertical="center" wrapText="1"/>
      <protection/>
    </xf>
    <xf numFmtId="10" fontId="6" fillId="57" borderId="0" xfId="0" applyNumberFormat="1" applyFont="1" applyFill="1" applyAlignment="1">
      <alignment vertical="center"/>
    </xf>
    <xf numFmtId="9" fontId="6" fillId="10" borderId="20" xfId="93" applyNumberFormat="1" applyFont="1" applyFill="1" applyBorder="1" applyAlignment="1" applyProtection="1">
      <alignment horizontal="right" vertical="center" wrapText="1"/>
      <protection/>
    </xf>
    <xf numFmtId="10" fontId="6" fillId="10" borderId="0" xfId="0" applyNumberFormat="1" applyFont="1" applyFill="1" applyAlignment="1">
      <alignment vertic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6" applyNumberFormat="1" applyFont="1" applyBorder="1" applyAlignment="1">
      <alignment horizont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20"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2"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18" fillId="0" borderId="0" xfId="136" applyNumberFormat="1" applyFont="1" applyBorder="1" applyAlignment="1">
      <alignment horizontal="left"/>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6" fillId="0" borderId="20"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0" fontId="12" fillId="0" borderId="20"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6" fillId="0" borderId="26" xfId="139" applyFont="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87" fillId="0" borderId="0" xfId="139" applyFont="1" applyAlignment="1">
      <alignment horizontal="center"/>
      <protection/>
    </xf>
    <xf numFmtId="0" fontId="25" fillId="0" borderId="0" xfId="139" applyNumberFormat="1" applyFont="1" applyBorder="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0" fillId="0" borderId="0" xfId="139" applyNumberFormat="1" applyFont="1" applyBorder="1" applyAlignment="1">
      <alignment horizontal="left" wrapText="1"/>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8"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24"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49" fontId="24" fillId="0" borderId="46"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8"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9"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6" fillId="0" borderId="0"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7" fillId="34" borderId="39" xfId="0" applyNumberFormat="1" applyFont="1" applyFill="1" applyBorder="1" applyAlignment="1" applyProtection="1">
      <alignment horizontal="center" vertical="center" wrapText="1"/>
      <protection/>
    </xf>
    <xf numFmtId="49" fontId="7" fillId="34"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xf>
    <xf numFmtId="49" fontId="7" fillId="0" borderId="0" xfId="0" applyNumberFormat="1" applyFont="1" applyFill="1" applyAlignment="1">
      <alignment horizontal="center" vertical="center" wrapText="1"/>
    </xf>
    <xf numFmtId="10" fontId="6" fillId="59" borderId="0" xfId="0" applyNumberFormat="1" applyFont="1" applyFill="1" applyAlignment="1">
      <alignment vertical="center"/>
    </xf>
    <xf numFmtId="10" fontId="6" fillId="60" borderId="0" xfId="0" applyNumberFormat="1" applyFont="1" applyFill="1" applyAlignment="1">
      <alignment vertical="center"/>
    </xf>
    <xf numFmtId="10" fontId="6" fillId="61" borderId="0" xfId="0" applyNumberFormat="1" applyFont="1" applyFill="1" applyAlignment="1">
      <alignment vertical="center"/>
    </xf>
    <xf numFmtId="10" fontId="6" fillId="62" borderId="0" xfId="0" applyNumberFormat="1" applyFont="1" applyFill="1" applyAlignment="1">
      <alignment vertical="center"/>
    </xf>
    <xf numFmtId="10" fontId="6" fillId="51" borderId="0" xfId="0" applyNumberFormat="1" applyFont="1" applyFill="1" applyAlignment="1">
      <alignment vertical="center"/>
    </xf>
    <xf numFmtId="10" fontId="6" fillId="63" borderId="0" xfId="0" applyNumberFormat="1" applyFont="1" applyFill="1" applyAlignment="1">
      <alignment vertical="center"/>
    </xf>
    <xf numFmtId="10" fontId="6" fillId="15" borderId="0" xfId="0" applyNumberFormat="1" applyFont="1" applyFill="1" applyAlignment="1">
      <alignment vertical="center"/>
    </xf>
    <xf numFmtId="10" fontId="6" fillId="64" borderId="0" xfId="0" applyNumberFormat="1" applyFont="1" applyFill="1" applyAlignment="1">
      <alignment vertic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85" t="s">
        <v>26</v>
      </c>
      <c r="B1" s="585"/>
      <c r="C1" s="584" t="s">
        <v>70</v>
      </c>
      <c r="D1" s="584"/>
      <c r="E1" s="584"/>
      <c r="F1" s="586" t="s">
        <v>66</v>
      </c>
      <c r="G1" s="586"/>
      <c r="H1" s="586"/>
    </row>
    <row r="2" spans="1:8" ht="33.75" customHeight="1">
      <c r="A2" s="587" t="s">
        <v>73</v>
      </c>
      <c r="B2" s="587"/>
      <c r="C2" s="584"/>
      <c r="D2" s="584"/>
      <c r="E2" s="584"/>
      <c r="F2" s="583" t="s">
        <v>67</v>
      </c>
      <c r="G2" s="583"/>
      <c r="H2" s="583"/>
    </row>
    <row r="3" spans="1:8" ht="19.5" customHeight="1">
      <c r="A3" s="6" t="s">
        <v>61</v>
      </c>
      <c r="B3" s="6"/>
      <c r="C3" s="24"/>
      <c r="D3" s="24"/>
      <c r="E3" s="24"/>
      <c r="F3" s="583" t="s">
        <v>68</v>
      </c>
      <c r="G3" s="583"/>
      <c r="H3" s="583"/>
    </row>
    <row r="4" spans="1:8" s="7" customFormat="1" ht="19.5" customHeight="1">
      <c r="A4" s="6"/>
      <c r="B4" s="6"/>
      <c r="D4" s="8"/>
      <c r="F4" s="9" t="s">
        <v>69</v>
      </c>
      <c r="G4" s="9"/>
      <c r="H4" s="9"/>
    </row>
    <row r="5" spans="1:8" s="23" customFormat="1" ht="36" customHeight="1">
      <c r="A5" s="565" t="s">
        <v>53</v>
      </c>
      <c r="B5" s="566"/>
      <c r="C5" s="569" t="s">
        <v>64</v>
      </c>
      <c r="D5" s="570"/>
      <c r="E5" s="571" t="s">
        <v>63</v>
      </c>
      <c r="F5" s="571"/>
      <c r="G5" s="571"/>
      <c r="H5" s="572"/>
    </row>
    <row r="6" spans="1:8" s="23" customFormat="1" ht="20.25" customHeight="1">
      <c r="A6" s="567"/>
      <c r="B6" s="568"/>
      <c r="C6" s="573" t="s">
        <v>3</v>
      </c>
      <c r="D6" s="573" t="s">
        <v>71</v>
      </c>
      <c r="E6" s="575" t="s">
        <v>65</v>
      </c>
      <c r="F6" s="572"/>
      <c r="G6" s="575" t="s">
        <v>72</v>
      </c>
      <c r="H6" s="572"/>
    </row>
    <row r="7" spans="1:8" s="23" customFormat="1" ht="52.5" customHeight="1">
      <c r="A7" s="567"/>
      <c r="B7" s="568"/>
      <c r="C7" s="574"/>
      <c r="D7" s="574"/>
      <c r="E7" s="5" t="s">
        <v>3</v>
      </c>
      <c r="F7" s="5" t="s">
        <v>9</v>
      </c>
      <c r="G7" s="5" t="s">
        <v>3</v>
      </c>
      <c r="H7" s="5" t="s">
        <v>9</v>
      </c>
    </row>
    <row r="8" spans="1:8" ht="15" customHeight="1">
      <c r="A8" s="577" t="s">
        <v>6</v>
      </c>
      <c r="B8" s="578"/>
      <c r="C8" s="10">
        <v>1</v>
      </c>
      <c r="D8" s="10" t="s">
        <v>44</v>
      </c>
      <c r="E8" s="10" t="s">
        <v>45</v>
      </c>
      <c r="F8" s="10" t="s">
        <v>54</v>
      </c>
      <c r="G8" s="10" t="s">
        <v>55</v>
      </c>
      <c r="H8" s="10" t="s">
        <v>56</v>
      </c>
    </row>
    <row r="9" spans="1:8" ht="26.25" customHeight="1">
      <c r="A9" s="579" t="s">
        <v>33</v>
      </c>
      <c r="B9" s="58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81" t="s">
        <v>52</v>
      </c>
      <c r="C16" s="581"/>
      <c r="D16" s="26"/>
      <c r="E16" s="562" t="s">
        <v>19</v>
      </c>
      <c r="F16" s="562"/>
      <c r="G16" s="562"/>
      <c r="H16" s="562"/>
    </row>
    <row r="17" spans="2:8" ht="15.75" customHeight="1">
      <c r="B17" s="581"/>
      <c r="C17" s="581"/>
      <c r="D17" s="26"/>
      <c r="E17" s="563" t="s">
        <v>38</v>
      </c>
      <c r="F17" s="563"/>
      <c r="G17" s="563"/>
      <c r="H17" s="563"/>
    </row>
    <row r="18" spans="2:8" s="27" customFormat="1" ht="15.75" customHeight="1">
      <c r="B18" s="581"/>
      <c r="C18" s="581"/>
      <c r="D18" s="28"/>
      <c r="E18" s="564" t="s">
        <v>51</v>
      </c>
      <c r="F18" s="564"/>
      <c r="G18" s="564"/>
      <c r="H18" s="564"/>
    </row>
    <row r="20" ht="15.75">
      <c r="B20" s="19"/>
    </row>
    <row r="22" ht="15.75" hidden="1">
      <c r="A22" s="20" t="s">
        <v>41</v>
      </c>
    </row>
    <row r="23" spans="1:3" ht="15.75" hidden="1">
      <c r="A23" s="21"/>
      <c r="B23" s="582" t="s">
        <v>46</v>
      </c>
      <c r="C23" s="582"/>
    </row>
    <row r="24" spans="1:8" ht="15.75" customHeight="1" hidden="1">
      <c r="A24" s="22" t="s">
        <v>25</v>
      </c>
      <c r="B24" s="576" t="s">
        <v>49</v>
      </c>
      <c r="C24" s="576"/>
      <c r="D24" s="22"/>
      <c r="E24" s="22"/>
      <c r="F24" s="22"/>
      <c r="G24" s="22"/>
      <c r="H24" s="22"/>
    </row>
    <row r="25" spans="1:8" ht="15" customHeight="1" hidden="1">
      <c r="A25" s="22"/>
      <c r="B25" s="576" t="s">
        <v>50</v>
      </c>
      <c r="C25" s="576"/>
      <c r="D25" s="576"/>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2" t="s">
        <v>212</v>
      </c>
      <c r="B1" s="752"/>
      <c r="C1" s="752"/>
      <c r="D1" s="755" t="s">
        <v>328</v>
      </c>
      <c r="E1" s="755"/>
      <c r="F1" s="755"/>
      <c r="G1" s="755"/>
      <c r="H1" s="755"/>
      <c r="I1" s="755"/>
      <c r="J1" s="191" t="s">
        <v>329</v>
      </c>
      <c r="K1" s="322"/>
      <c r="L1" s="322"/>
    </row>
    <row r="2" spans="1:12" ht="18.75" customHeight="1">
      <c r="A2" s="753" t="s">
        <v>287</v>
      </c>
      <c r="B2" s="753"/>
      <c r="C2" s="753"/>
      <c r="D2" s="842" t="s">
        <v>213</v>
      </c>
      <c r="E2" s="842"/>
      <c r="F2" s="842"/>
      <c r="G2" s="842"/>
      <c r="H2" s="842"/>
      <c r="I2" s="842"/>
      <c r="J2" s="752" t="s">
        <v>330</v>
      </c>
      <c r="K2" s="752"/>
      <c r="L2" s="752"/>
    </row>
    <row r="3" spans="1:12" ht="17.25">
      <c r="A3" s="753" t="s">
        <v>239</v>
      </c>
      <c r="B3" s="753"/>
      <c r="C3" s="753"/>
      <c r="D3" s="843" t="s">
        <v>331</v>
      </c>
      <c r="E3" s="844"/>
      <c r="F3" s="844"/>
      <c r="G3" s="844"/>
      <c r="H3" s="844"/>
      <c r="I3" s="844"/>
      <c r="J3" s="194" t="s">
        <v>347</v>
      </c>
      <c r="K3" s="194"/>
      <c r="L3" s="194"/>
    </row>
    <row r="4" spans="1:12" ht="15.75">
      <c r="A4" s="846" t="s">
        <v>332</v>
      </c>
      <c r="B4" s="846"/>
      <c r="C4" s="846"/>
      <c r="D4" s="847"/>
      <c r="E4" s="847"/>
      <c r="F4" s="847"/>
      <c r="G4" s="847"/>
      <c r="H4" s="847"/>
      <c r="I4" s="847"/>
      <c r="J4" s="750" t="s">
        <v>289</v>
      </c>
      <c r="K4" s="750"/>
      <c r="L4" s="750"/>
    </row>
    <row r="5" spans="1:13" ht="15.75">
      <c r="A5" s="324"/>
      <c r="B5" s="324"/>
      <c r="C5" s="325"/>
      <c r="D5" s="325"/>
      <c r="E5" s="193"/>
      <c r="J5" s="326" t="s">
        <v>333</v>
      </c>
      <c r="K5" s="241"/>
      <c r="L5" s="241"/>
      <c r="M5" s="241"/>
    </row>
    <row r="6" spans="1:13" s="329" customFormat="1" ht="24.75" customHeight="1">
      <c r="A6" s="850" t="s">
        <v>53</v>
      </c>
      <c r="B6" s="851"/>
      <c r="C6" s="845" t="s">
        <v>334</v>
      </c>
      <c r="D6" s="845"/>
      <c r="E6" s="845"/>
      <c r="F6" s="845"/>
      <c r="G6" s="845"/>
      <c r="H6" s="845"/>
      <c r="I6" s="845" t="s">
        <v>214</v>
      </c>
      <c r="J6" s="845"/>
      <c r="K6" s="845"/>
      <c r="L6" s="845"/>
      <c r="M6" s="328"/>
    </row>
    <row r="7" spans="1:13" s="329" customFormat="1" ht="17.25" customHeight="1">
      <c r="A7" s="852"/>
      <c r="B7" s="853"/>
      <c r="C7" s="845" t="s">
        <v>31</v>
      </c>
      <c r="D7" s="845"/>
      <c r="E7" s="845" t="s">
        <v>7</v>
      </c>
      <c r="F7" s="845"/>
      <c r="G7" s="845"/>
      <c r="H7" s="845"/>
      <c r="I7" s="845" t="s">
        <v>215</v>
      </c>
      <c r="J7" s="845"/>
      <c r="K7" s="845" t="s">
        <v>216</v>
      </c>
      <c r="L7" s="845"/>
      <c r="M7" s="328"/>
    </row>
    <row r="8" spans="1:12" s="329" customFormat="1" ht="27.75" customHeight="1">
      <c r="A8" s="852"/>
      <c r="B8" s="853"/>
      <c r="C8" s="845"/>
      <c r="D8" s="845"/>
      <c r="E8" s="845" t="s">
        <v>217</v>
      </c>
      <c r="F8" s="845"/>
      <c r="G8" s="845" t="s">
        <v>218</v>
      </c>
      <c r="H8" s="845"/>
      <c r="I8" s="845"/>
      <c r="J8" s="845"/>
      <c r="K8" s="845"/>
      <c r="L8" s="845"/>
    </row>
    <row r="9" spans="1:12" s="329" customFormat="1" ht="24.75" customHeight="1">
      <c r="A9" s="854"/>
      <c r="B9" s="855"/>
      <c r="C9" s="327" t="s">
        <v>219</v>
      </c>
      <c r="D9" s="327" t="s">
        <v>9</v>
      </c>
      <c r="E9" s="327" t="s">
        <v>3</v>
      </c>
      <c r="F9" s="327" t="s">
        <v>220</v>
      </c>
      <c r="G9" s="327" t="s">
        <v>3</v>
      </c>
      <c r="H9" s="327" t="s">
        <v>220</v>
      </c>
      <c r="I9" s="327" t="s">
        <v>3</v>
      </c>
      <c r="J9" s="327" t="s">
        <v>220</v>
      </c>
      <c r="K9" s="327" t="s">
        <v>3</v>
      </c>
      <c r="L9" s="327" t="s">
        <v>220</v>
      </c>
    </row>
    <row r="10" spans="1:12" s="331" customFormat="1" ht="15.75">
      <c r="A10" s="778" t="s">
        <v>6</v>
      </c>
      <c r="B10" s="779"/>
      <c r="C10" s="330">
        <v>1</v>
      </c>
      <c r="D10" s="330">
        <v>2</v>
      </c>
      <c r="E10" s="330">
        <v>3</v>
      </c>
      <c r="F10" s="330">
        <v>4</v>
      </c>
      <c r="G10" s="330">
        <v>5</v>
      </c>
      <c r="H10" s="330">
        <v>6</v>
      </c>
      <c r="I10" s="330">
        <v>7</v>
      </c>
      <c r="J10" s="330">
        <v>8</v>
      </c>
      <c r="K10" s="330">
        <v>9</v>
      </c>
      <c r="L10" s="330">
        <v>10</v>
      </c>
    </row>
    <row r="11" spans="1:12" s="331" customFormat="1" ht="30.75" customHeight="1">
      <c r="A11" s="765" t="s">
        <v>284</v>
      </c>
      <c r="B11" s="766"/>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70" t="s">
        <v>285</v>
      </c>
      <c r="B12" s="771"/>
      <c r="C12" s="249">
        <v>0</v>
      </c>
      <c r="D12" s="249">
        <v>0</v>
      </c>
      <c r="E12" s="249">
        <v>0</v>
      </c>
      <c r="F12" s="249">
        <v>0</v>
      </c>
      <c r="G12" s="249">
        <v>0</v>
      </c>
      <c r="H12" s="249">
        <v>0</v>
      </c>
      <c r="I12" s="249">
        <v>0</v>
      </c>
      <c r="J12" s="249">
        <v>0</v>
      </c>
      <c r="K12" s="249">
        <v>0</v>
      </c>
      <c r="L12" s="249">
        <v>0</v>
      </c>
    </row>
    <row r="13" spans="1:32" s="331" customFormat="1" ht="17.25" customHeight="1">
      <c r="A13" s="774" t="s">
        <v>30</v>
      </c>
      <c r="B13" s="745"/>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68" t="s">
        <v>272</v>
      </c>
      <c r="C28" s="768"/>
      <c r="D28" s="768"/>
      <c r="E28" s="204"/>
      <c r="F28" s="258"/>
      <c r="G28" s="258"/>
      <c r="H28" s="767" t="s">
        <v>272</v>
      </c>
      <c r="I28" s="767"/>
      <c r="J28" s="767"/>
      <c r="K28" s="767"/>
      <c r="L28" s="767"/>
      <c r="AG28" s="192" t="s">
        <v>273</v>
      </c>
      <c r="AI28" s="190">
        <f>82/88</f>
        <v>0.9318181818181818</v>
      </c>
    </row>
    <row r="29" spans="1:12" s="192" customFormat="1" ht="19.5" customHeight="1">
      <c r="A29" s="202"/>
      <c r="B29" s="769" t="s">
        <v>221</v>
      </c>
      <c r="C29" s="769"/>
      <c r="D29" s="769"/>
      <c r="E29" s="204"/>
      <c r="F29" s="205"/>
      <c r="G29" s="205"/>
      <c r="H29" s="773" t="s">
        <v>139</v>
      </c>
      <c r="I29" s="773"/>
      <c r="J29" s="773"/>
      <c r="K29" s="773"/>
      <c r="L29" s="773"/>
    </row>
    <row r="30" spans="1:12" s="196" customFormat="1" ht="15" customHeight="1">
      <c r="A30" s="202"/>
      <c r="B30" s="849"/>
      <c r="C30" s="849"/>
      <c r="D30" s="849"/>
      <c r="E30" s="204"/>
      <c r="F30" s="205"/>
      <c r="G30" s="205"/>
      <c r="H30" s="722"/>
      <c r="I30" s="722"/>
      <c r="J30" s="722"/>
      <c r="K30" s="722"/>
      <c r="L30" s="72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56" t="s">
        <v>276</v>
      </c>
      <c r="C33" s="856"/>
      <c r="D33" s="856"/>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8" t="s">
        <v>222</v>
      </c>
      <c r="C37" s="848"/>
      <c r="D37" s="848"/>
      <c r="E37" s="848"/>
      <c r="F37" s="848"/>
      <c r="G37" s="848"/>
      <c r="H37" s="848"/>
      <c r="I37" s="848"/>
      <c r="J37" s="848"/>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9" t="s">
        <v>318</v>
      </c>
      <c r="C41" s="619"/>
      <c r="D41" s="619"/>
      <c r="E41" s="210"/>
      <c r="F41" s="210"/>
      <c r="G41" s="182"/>
      <c r="H41" s="620" t="s">
        <v>230</v>
      </c>
      <c r="I41" s="620"/>
      <c r="J41" s="620"/>
      <c r="K41" s="620"/>
      <c r="L41" s="620"/>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7" t="s">
        <v>360</v>
      </c>
      <c r="M1" s="858"/>
      <c r="N1" s="858"/>
      <c r="O1" s="365"/>
      <c r="P1" s="365"/>
      <c r="Q1" s="365"/>
      <c r="R1" s="365"/>
      <c r="S1" s="365"/>
      <c r="T1" s="365"/>
      <c r="U1" s="365"/>
      <c r="V1" s="365"/>
      <c r="W1" s="365"/>
      <c r="X1" s="365"/>
      <c r="Y1" s="366"/>
    </row>
    <row r="2" spans="11:17" ht="34.5" customHeight="1">
      <c r="K2" s="349"/>
      <c r="L2" s="859" t="s">
        <v>367</v>
      </c>
      <c r="M2" s="860"/>
      <c r="N2" s="861"/>
      <c r="O2" s="29"/>
      <c r="P2" s="351"/>
      <c r="Q2" s="347"/>
    </row>
    <row r="3" spans="11:18" ht="31.5" customHeight="1">
      <c r="K3" s="349"/>
      <c r="L3" s="354" t="s">
        <v>376</v>
      </c>
      <c r="M3" s="355">
        <f>'06'!C11</f>
        <v>5727</v>
      </c>
      <c r="N3" s="355"/>
      <c r="O3" s="355"/>
      <c r="P3" s="352"/>
      <c r="Q3" s="348"/>
      <c r="R3" s="345"/>
    </row>
    <row r="4" spans="11:18" ht="30" customHeight="1">
      <c r="K4" s="349"/>
      <c r="L4" s="356" t="s">
        <v>361</v>
      </c>
      <c r="M4" s="357">
        <f>'06'!D11</f>
        <v>1425</v>
      </c>
      <c r="N4" s="355"/>
      <c r="O4" s="355"/>
      <c r="P4" s="352"/>
      <c r="Q4" s="348"/>
      <c r="R4" s="345"/>
    </row>
    <row r="5" spans="11:18" ht="31.5" customHeight="1">
      <c r="K5" s="349"/>
      <c r="L5" s="356" t="s">
        <v>362</v>
      </c>
      <c r="M5" s="357">
        <f>'06'!E11</f>
        <v>4302</v>
      </c>
      <c r="N5" s="355"/>
      <c r="O5" s="355"/>
      <c r="P5" s="352"/>
      <c r="Q5" s="348"/>
      <c r="R5" s="345"/>
    </row>
    <row r="6" spans="11:18" ht="27" customHeight="1">
      <c r="K6" s="349"/>
      <c r="L6" s="354" t="s">
        <v>363</v>
      </c>
      <c r="M6" s="355">
        <f>'06'!F11</f>
        <v>57</v>
      </c>
      <c r="N6" s="355"/>
      <c r="O6" s="355"/>
      <c r="P6" s="352"/>
      <c r="Q6" s="348"/>
      <c r="R6" s="345"/>
    </row>
    <row r="7" spans="11:18" s="342" customFormat="1" ht="30" customHeight="1">
      <c r="K7" s="350"/>
      <c r="L7" s="358" t="s">
        <v>379</v>
      </c>
      <c r="M7" s="355">
        <f>'06'!H11</f>
        <v>5670</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2.8079247817327064</v>
      </c>
      <c r="N9" s="355"/>
      <c r="O9" s="355"/>
      <c r="P9" s="352"/>
      <c r="Q9" s="348"/>
      <c r="R9" s="345"/>
    </row>
    <row r="10" spans="11:18" ht="33" customHeight="1">
      <c r="K10" s="349"/>
      <c r="L10" s="354" t="s">
        <v>380</v>
      </c>
      <c r="M10" s="355">
        <f>'06'!I11</f>
        <v>4396</v>
      </c>
      <c r="N10" s="355" t="s">
        <v>364</v>
      </c>
      <c r="O10" s="361">
        <f>M10/M7</f>
        <v>0.7753086419753087</v>
      </c>
      <c r="P10" s="352"/>
      <c r="Q10" s="348"/>
      <c r="R10" s="345"/>
    </row>
    <row r="11" spans="11:18" ht="22.5" customHeight="1">
      <c r="K11" s="349"/>
      <c r="L11" s="354" t="s">
        <v>382</v>
      </c>
      <c r="M11" s="355">
        <f>'06'!Q11</f>
        <v>1274</v>
      </c>
      <c r="N11" s="355" t="s">
        <v>364</v>
      </c>
      <c r="O11" s="361">
        <f>M11/M7</f>
        <v>0.22469135802469137</v>
      </c>
      <c r="P11" s="352"/>
      <c r="Q11" s="348"/>
      <c r="R11" s="345"/>
    </row>
    <row r="12" spans="11:18" ht="34.5" customHeight="1">
      <c r="K12" s="349"/>
      <c r="L12" s="354" t="s">
        <v>383</v>
      </c>
      <c r="M12" s="355">
        <f>'06'!J11+'06'!K11</f>
        <v>3903</v>
      </c>
      <c r="N12" s="354"/>
      <c r="O12" s="354"/>
      <c r="P12" s="346"/>
      <c r="R12" s="346"/>
    </row>
    <row r="13" spans="11:18" ht="33.75" customHeight="1">
      <c r="K13" s="349"/>
      <c r="L13" s="354" t="s">
        <v>384</v>
      </c>
      <c r="M13" s="361">
        <f>M12/M7</f>
        <v>0.6883597883597884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0.18533762583460367</v>
      </c>
      <c r="N18" s="355"/>
      <c r="O18" s="355"/>
      <c r="P18" s="352"/>
      <c r="R18" s="346"/>
    </row>
    <row r="19" spans="11:18" ht="24.75" customHeight="1">
      <c r="K19" s="349"/>
      <c r="L19" s="354" t="s">
        <v>387</v>
      </c>
      <c r="M19" s="355">
        <f>'06'!J11</f>
        <v>3805</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0.8655595996360328</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0.19289772913243564</v>
      </c>
      <c r="N30" s="355"/>
      <c r="O30" s="355"/>
      <c r="P30" s="352"/>
      <c r="R30" s="346"/>
    </row>
    <row r="31" spans="11:18" ht="24.75" customHeight="1">
      <c r="K31" s="349"/>
      <c r="L31" s="354" t="s">
        <v>391</v>
      </c>
      <c r="M31" s="355">
        <f>'06'!R11</f>
        <v>1767</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1048</v>
      </c>
      <c r="N33" s="369" t="s">
        <v>366</v>
      </c>
      <c r="O33" s="368">
        <f>(M31-M32)/M32</f>
        <v>1.4575799721835883</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124091605</v>
      </c>
      <c r="N42" s="355"/>
      <c r="O42" s="355"/>
      <c r="P42" s="346"/>
      <c r="R42" s="346"/>
    </row>
    <row r="43" spans="11:18" ht="24.75" customHeight="1">
      <c r="K43" s="349"/>
      <c r="L43" s="363" t="s">
        <v>96</v>
      </c>
      <c r="M43" s="355">
        <f>'07'!D11</f>
        <v>78414739</v>
      </c>
      <c r="N43" s="355"/>
      <c r="O43" s="355"/>
      <c r="P43" s="346"/>
      <c r="R43" s="346"/>
    </row>
    <row r="44" spans="11:18" ht="24.75" customHeight="1">
      <c r="K44" s="349"/>
      <c r="L44" s="363" t="s">
        <v>362</v>
      </c>
      <c r="M44" s="355">
        <f>'07'!E11</f>
        <v>45676866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3750084</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120341521</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66113698.558</v>
      </c>
      <c r="N52" s="355"/>
      <c r="O52" s="355"/>
      <c r="P52" s="346"/>
      <c r="R52" s="346"/>
    </row>
    <row r="53" spans="11:18" ht="24.75" customHeight="1">
      <c r="K53" s="349"/>
      <c r="L53" s="377" t="s">
        <v>370</v>
      </c>
      <c r="M53" s="368">
        <f>(M52/M51)</f>
        <v>1.2191840937133824</v>
      </c>
      <c r="N53" s="355"/>
      <c r="O53" s="355"/>
      <c r="P53" s="346"/>
      <c r="R53" s="346"/>
    </row>
    <row r="54" spans="11:18" ht="24.75" customHeight="1">
      <c r="K54" s="349"/>
      <c r="L54" s="363" t="s">
        <v>398</v>
      </c>
      <c r="M54" s="355">
        <f>'07'!I11</f>
        <v>63556642</v>
      </c>
      <c r="N54" s="355" t="s">
        <v>371</v>
      </c>
      <c r="O54" s="361">
        <f>'07'!I11/'07'!H11</f>
        <v>0.5281356050003723</v>
      </c>
      <c r="P54" s="346"/>
      <c r="R54" s="346"/>
    </row>
    <row r="55" spans="11:18" ht="24.75" customHeight="1">
      <c r="K55" s="349"/>
      <c r="L55" s="363" t="s">
        <v>399</v>
      </c>
      <c r="M55" s="355">
        <f>'07'!R11</f>
        <v>56784879</v>
      </c>
      <c r="N55" s="355" t="s">
        <v>371</v>
      </c>
      <c r="O55" s="361">
        <f>'07'!R11/'07'!H11</f>
        <v>0.4718643949996278</v>
      </c>
      <c r="P55" s="346"/>
      <c r="R55" s="346"/>
    </row>
    <row r="56" spans="11:18" ht="24.75" customHeight="1">
      <c r="K56" s="349"/>
      <c r="L56" s="363" t="s">
        <v>400</v>
      </c>
      <c r="M56" s="355">
        <f>'07'!J11+'07'!K11+'07'!L11</f>
        <v>21712393</v>
      </c>
      <c r="N56" s="355" t="s">
        <v>371</v>
      </c>
      <c r="O56" s="361">
        <f>M56/'07'!H11</f>
        <v>0.18042312262282276</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0.13952665287480742</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15359010</v>
      </c>
      <c r="N63" s="355" t="s">
        <v>372</v>
      </c>
      <c r="O63" s="361">
        <f>'07'!J11/'07'!I11</f>
        <v>0.241658613744886</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0.22741511242507234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98629128</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50502317.638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1.049359333355606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862" t="s">
        <v>421</v>
      </c>
      <c r="B2" s="862"/>
    </row>
    <row r="3" spans="1:2" ht="22.5" customHeight="1">
      <c r="A3" s="401" t="s">
        <v>409</v>
      </c>
      <c r="B3" s="402" t="s">
        <v>482</v>
      </c>
    </row>
    <row r="4" spans="1:2" ht="22.5" customHeight="1">
      <c r="A4" s="401" t="s">
        <v>408</v>
      </c>
      <c r="B4" s="402" t="s">
        <v>471</v>
      </c>
    </row>
    <row r="5" spans="1:2" ht="22.5" customHeight="1">
      <c r="A5" s="401" t="s">
        <v>410</v>
      </c>
      <c r="B5" s="439" t="s">
        <v>473</v>
      </c>
    </row>
    <row r="6" spans="1:2" ht="22.5" customHeight="1">
      <c r="A6" s="401" t="s">
        <v>411</v>
      </c>
      <c r="B6" s="417" t="s">
        <v>469</v>
      </c>
    </row>
    <row r="7" spans="1:2" ht="22.5" customHeight="1">
      <c r="A7" s="401" t="s">
        <v>412</v>
      </c>
      <c r="B7" s="417" t="s">
        <v>377</v>
      </c>
    </row>
    <row r="8" spans="1:2" ht="15.75">
      <c r="A8" s="403" t="s">
        <v>413</v>
      </c>
      <c r="B8" s="440" t="s">
        <v>483</v>
      </c>
    </row>
    <row r="10" spans="1:2" ht="62.25" customHeight="1">
      <c r="A10" s="863" t="s">
        <v>422</v>
      </c>
      <c r="B10" s="863"/>
    </row>
    <row r="11" spans="1:2" ht="15.75">
      <c r="A11" s="864" t="s">
        <v>420</v>
      </c>
      <c r="B11" s="864"/>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1"/>
  <sheetViews>
    <sheetView showZeros="0" zoomScale="85" zoomScaleNormal="85" zoomScaleSheetLayoutView="85" zoomScalePageLayoutView="0" workbookViewId="0" topLeftCell="A4">
      <pane xSplit="1" ySplit="7" topLeftCell="K11" activePane="bottomRight" state="frozen"/>
      <selection pane="topLeft" activeCell="A4" sqref="A4"/>
      <selection pane="topRight" activeCell="B4" sqref="B4"/>
      <selection pane="bottomLeft" activeCell="A11" sqref="A11"/>
      <selection pane="bottomRight" activeCell="V47" sqref="V47"/>
    </sheetView>
  </sheetViews>
  <sheetFormatPr defaultColWidth="9.00390625" defaultRowHeight="15.75"/>
  <cols>
    <col min="1" max="1" width="4.125" style="382" customWidth="1"/>
    <col min="2" max="2" width="16.50390625" style="382" customWidth="1"/>
    <col min="3" max="3" width="9.875" style="382" customWidth="1"/>
    <col min="4" max="4" width="9.375" style="382" customWidth="1"/>
    <col min="5" max="5" width="8.875" style="382" customWidth="1"/>
    <col min="6" max="6" width="8.125" style="382" customWidth="1"/>
    <col min="7" max="7" width="6.625" style="382" customWidth="1"/>
    <col min="8" max="9" width="10.00390625" style="382" customWidth="1"/>
    <col min="10" max="10" width="8.625" style="382" customWidth="1"/>
    <col min="11" max="11" width="8.75390625" style="382" customWidth="1"/>
    <col min="12" max="12" width="7.25390625" style="382" customWidth="1"/>
    <col min="13" max="13" width="9.75390625" style="382" customWidth="1"/>
    <col min="14" max="14" width="9.125" style="382" customWidth="1"/>
    <col min="15" max="15" width="8.00390625" style="382" customWidth="1"/>
    <col min="16" max="16" width="6.375" style="382" customWidth="1"/>
    <col min="17" max="17" width="7.875" style="382" customWidth="1"/>
    <col min="18" max="18" width="8.875" style="382" customWidth="1"/>
    <col min="19" max="19" width="10.875" style="382" customWidth="1"/>
    <col min="20" max="20" width="7.75390625" style="382" customWidth="1"/>
    <col min="21" max="21" width="9.00390625" style="382" customWidth="1"/>
    <col min="22" max="22" width="10.75390625" style="382" customWidth="1"/>
    <col min="23" max="16384" width="9.00390625" style="382" customWidth="1"/>
  </cols>
  <sheetData>
    <row r="1" spans="1:20" s="384" customFormat="1" ht="20.25" customHeight="1">
      <c r="A1" s="421" t="s">
        <v>28</v>
      </c>
      <c r="B1" s="421"/>
      <c r="C1" s="421"/>
      <c r="D1" s="422"/>
      <c r="E1" s="877" t="s">
        <v>470</v>
      </c>
      <c r="F1" s="877"/>
      <c r="G1" s="877"/>
      <c r="H1" s="877"/>
      <c r="I1" s="877"/>
      <c r="J1" s="877"/>
      <c r="K1" s="877"/>
      <c r="L1" s="877"/>
      <c r="M1" s="877"/>
      <c r="N1" s="877"/>
      <c r="O1" s="877"/>
      <c r="P1" s="877"/>
      <c r="Q1" s="423" t="s">
        <v>418</v>
      </c>
      <c r="R1" s="423"/>
      <c r="S1" s="423"/>
      <c r="T1" s="423"/>
    </row>
    <row r="2" spans="1:20" ht="17.25" customHeight="1">
      <c r="A2" s="865" t="s">
        <v>226</v>
      </c>
      <c r="B2" s="865"/>
      <c r="C2" s="865"/>
      <c r="D2" s="865"/>
      <c r="E2" s="584" t="s">
        <v>34</v>
      </c>
      <c r="F2" s="584"/>
      <c r="G2" s="584"/>
      <c r="H2" s="584"/>
      <c r="I2" s="584"/>
      <c r="J2" s="584"/>
      <c r="K2" s="584"/>
      <c r="L2" s="584"/>
      <c r="M2" s="584"/>
      <c r="N2" s="584"/>
      <c r="O2" s="584"/>
      <c r="P2" s="584"/>
      <c r="Q2" s="866" t="str">
        <f>'Thong tin'!B4</f>
        <v>Cục THADS tỉnh Tuyên Quang</v>
      </c>
      <c r="R2" s="866"/>
      <c r="S2" s="866"/>
      <c r="T2" s="866"/>
    </row>
    <row r="3" spans="1:20" s="384" customFormat="1" ht="18" customHeight="1">
      <c r="A3" s="865" t="s">
        <v>227</v>
      </c>
      <c r="B3" s="865"/>
      <c r="C3" s="865"/>
      <c r="D3" s="865"/>
      <c r="E3" s="878" t="str">
        <f>'Thong tin'!B3</f>
        <v>11 tháng / năm 2017</v>
      </c>
      <c r="F3" s="878"/>
      <c r="G3" s="878"/>
      <c r="H3" s="878"/>
      <c r="I3" s="878"/>
      <c r="J3" s="878"/>
      <c r="K3" s="878"/>
      <c r="L3" s="878"/>
      <c r="M3" s="878"/>
      <c r="N3" s="878"/>
      <c r="O3" s="878"/>
      <c r="P3" s="878"/>
      <c r="Q3" s="423" t="s">
        <v>472</v>
      </c>
      <c r="R3" s="421"/>
      <c r="S3" s="423"/>
      <c r="T3" s="423"/>
    </row>
    <row r="4" spans="1:20" ht="14.25" customHeight="1">
      <c r="A4" s="424" t="s">
        <v>105</v>
      </c>
      <c r="B4" s="421"/>
      <c r="C4" s="421"/>
      <c r="D4" s="421"/>
      <c r="E4" s="421"/>
      <c r="F4" s="421"/>
      <c r="G4" s="421"/>
      <c r="H4" s="421"/>
      <c r="I4" s="421"/>
      <c r="J4" s="421"/>
      <c r="K4" s="421"/>
      <c r="L4" s="421"/>
      <c r="M4" s="421"/>
      <c r="N4" s="421"/>
      <c r="O4" s="425"/>
      <c r="P4" s="425"/>
      <c r="Q4" s="882" t="s">
        <v>289</v>
      </c>
      <c r="R4" s="882"/>
      <c r="S4" s="882"/>
      <c r="T4" s="882"/>
    </row>
    <row r="5" spans="1:20" s="384" customFormat="1" ht="21.75" customHeight="1" thickBot="1">
      <c r="A5" s="422"/>
      <c r="B5" s="426"/>
      <c r="C5" s="426"/>
      <c r="D5" s="422"/>
      <c r="E5" s="422"/>
      <c r="F5" s="422"/>
      <c r="G5" s="422"/>
      <c r="H5" s="422"/>
      <c r="I5" s="422"/>
      <c r="J5" s="422"/>
      <c r="K5" s="427"/>
      <c r="L5" s="422"/>
      <c r="M5" s="422"/>
      <c r="N5" s="422"/>
      <c r="O5" s="422"/>
      <c r="P5" s="422"/>
      <c r="Q5" s="894" t="s">
        <v>419</v>
      </c>
      <c r="R5" s="894"/>
      <c r="S5" s="894"/>
      <c r="T5" s="894"/>
    </row>
    <row r="6" spans="1:36" s="384" customFormat="1" ht="18.75" customHeight="1" thickTop="1">
      <c r="A6" s="890" t="s">
        <v>53</v>
      </c>
      <c r="B6" s="891"/>
      <c r="C6" s="875" t="s">
        <v>106</v>
      </c>
      <c r="D6" s="875"/>
      <c r="E6" s="875"/>
      <c r="F6" s="879" t="s">
        <v>97</v>
      </c>
      <c r="G6" s="879" t="s">
        <v>107</v>
      </c>
      <c r="H6" s="880" t="s">
        <v>98</v>
      </c>
      <c r="I6" s="880"/>
      <c r="J6" s="880"/>
      <c r="K6" s="880"/>
      <c r="L6" s="880"/>
      <c r="M6" s="880"/>
      <c r="N6" s="880"/>
      <c r="O6" s="880"/>
      <c r="P6" s="880"/>
      <c r="Q6" s="880"/>
      <c r="R6" s="880"/>
      <c r="S6" s="875" t="s">
        <v>231</v>
      </c>
      <c r="T6" s="872" t="s">
        <v>417</v>
      </c>
      <c r="U6" s="900" t="s">
        <v>491</v>
      </c>
      <c r="V6" s="899" t="s">
        <v>492</v>
      </c>
      <c r="W6" s="899" t="s">
        <v>486</v>
      </c>
      <c r="X6" s="899" t="s">
        <v>487</v>
      </c>
      <c r="Y6" s="899" t="s">
        <v>488</v>
      </c>
      <c r="Z6" s="899" t="s">
        <v>489</v>
      </c>
      <c r="AA6" s="899" t="s">
        <v>490</v>
      </c>
      <c r="AB6" s="386"/>
      <c r="AC6" s="386"/>
      <c r="AD6" s="386"/>
      <c r="AE6" s="386"/>
      <c r="AF6" s="386"/>
      <c r="AG6" s="386"/>
      <c r="AH6" s="386"/>
      <c r="AI6" s="386"/>
      <c r="AJ6" s="386"/>
    </row>
    <row r="7" spans="1:36" s="400" customFormat="1" ht="21" customHeight="1">
      <c r="A7" s="892"/>
      <c r="B7" s="893"/>
      <c r="C7" s="876" t="s">
        <v>42</v>
      </c>
      <c r="D7" s="895" t="s">
        <v>7</v>
      </c>
      <c r="E7" s="895"/>
      <c r="F7" s="870"/>
      <c r="G7" s="870"/>
      <c r="H7" s="870" t="s">
        <v>98</v>
      </c>
      <c r="I7" s="876" t="s">
        <v>99</v>
      </c>
      <c r="J7" s="876"/>
      <c r="K7" s="876"/>
      <c r="L7" s="876"/>
      <c r="M7" s="876"/>
      <c r="N7" s="876"/>
      <c r="O7" s="876"/>
      <c r="P7" s="876"/>
      <c r="Q7" s="876"/>
      <c r="R7" s="870" t="s">
        <v>108</v>
      </c>
      <c r="S7" s="876"/>
      <c r="T7" s="873"/>
      <c r="U7" s="900"/>
      <c r="V7" s="899"/>
      <c r="W7" s="899"/>
      <c r="X7" s="899"/>
      <c r="Y7" s="899"/>
      <c r="Z7" s="899"/>
      <c r="AA7" s="899"/>
      <c r="AB7" s="389"/>
      <c r="AC7" s="389"/>
      <c r="AD7" s="389"/>
      <c r="AE7" s="389"/>
      <c r="AF7" s="389"/>
      <c r="AG7" s="389"/>
      <c r="AH7" s="389"/>
      <c r="AI7" s="389"/>
      <c r="AJ7" s="389"/>
    </row>
    <row r="8" spans="1:36" s="384" customFormat="1" ht="21.75" customHeight="1">
      <c r="A8" s="892"/>
      <c r="B8" s="893"/>
      <c r="C8" s="876"/>
      <c r="D8" s="895" t="s">
        <v>109</v>
      </c>
      <c r="E8" s="895" t="s">
        <v>110</v>
      </c>
      <c r="F8" s="870"/>
      <c r="G8" s="870"/>
      <c r="H8" s="870"/>
      <c r="I8" s="870" t="s">
        <v>416</v>
      </c>
      <c r="J8" s="895" t="s">
        <v>7</v>
      </c>
      <c r="K8" s="895"/>
      <c r="L8" s="895"/>
      <c r="M8" s="895"/>
      <c r="N8" s="895"/>
      <c r="O8" s="895"/>
      <c r="P8" s="895"/>
      <c r="Q8" s="895"/>
      <c r="R8" s="870"/>
      <c r="S8" s="876"/>
      <c r="T8" s="873"/>
      <c r="U8" s="900"/>
      <c r="V8" s="899"/>
      <c r="W8" s="899"/>
      <c r="X8" s="899"/>
      <c r="Y8" s="899"/>
      <c r="Z8" s="899"/>
      <c r="AA8" s="899"/>
      <c r="AB8" s="386"/>
      <c r="AC8" s="386"/>
      <c r="AD8" s="386"/>
      <c r="AE8" s="386"/>
      <c r="AF8" s="386"/>
      <c r="AG8" s="386"/>
      <c r="AH8" s="386"/>
      <c r="AI8" s="386"/>
      <c r="AJ8" s="386"/>
    </row>
    <row r="9" spans="1:36" s="384" customFormat="1" ht="84" customHeight="1">
      <c r="A9" s="892"/>
      <c r="B9" s="893"/>
      <c r="C9" s="876"/>
      <c r="D9" s="895"/>
      <c r="E9" s="895"/>
      <c r="F9" s="870"/>
      <c r="G9" s="870"/>
      <c r="H9" s="870"/>
      <c r="I9" s="870"/>
      <c r="J9" s="428" t="s">
        <v>111</v>
      </c>
      <c r="K9" s="428" t="s">
        <v>112</v>
      </c>
      <c r="L9" s="428" t="s">
        <v>104</v>
      </c>
      <c r="M9" s="429" t="s">
        <v>100</v>
      </c>
      <c r="N9" s="429" t="s">
        <v>113</v>
      </c>
      <c r="O9" s="429" t="s">
        <v>101</v>
      </c>
      <c r="P9" s="429" t="s">
        <v>232</v>
      </c>
      <c r="Q9" s="429" t="s">
        <v>102</v>
      </c>
      <c r="R9" s="870"/>
      <c r="S9" s="876"/>
      <c r="T9" s="873"/>
      <c r="U9" s="900"/>
      <c r="V9" s="899"/>
      <c r="W9" s="899"/>
      <c r="X9" s="899"/>
      <c r="Y9" s="899"/>
      <c r="Z9" s="899"/>
      <c r="AA9" s="899"/>
      <c r="AB9" s="386"/>
      <c r="AC9" s="386"/>
      <c r="AD9" s="386"/>
      <c r="AE9" s="386"/>
      <c r="AF9" s="386"/>
      <c r="AG9" s="386"/>
      <c r="AH9" s="386"/>
      <c r="AI9" s="386"/>
      <c r="AJ9" s="386"/>
    </row>
    <row r="10" spans="1:20" s="384" customFormat="1" ht="17.25" customHeight="1">
      <c r="A10" s="868" t="s">
        <v>6</v>
      </c>
      <c r="B10" s="869"/>
      <c r="C10" s="430">
        <v>1</v>
      </c>
      <c r="D10" s="430">
        <v>2</v>
      </c>
      <c r="E10" s="430">
        <v>3</v>
      </c>
      <c r="F10" s="430">
        <v>4</v>
      </c>
      <c r="G10" s="430">
        <v>5</v>
      </c>
      <c r="H10" s="430">
        <v>6</v>
      </c>
      <c r="I10" s="430">
        <v>7</v>
      </c>
      <c r="J10" s="430">
        <v>8</v>
      </c>
      <c r="K10" s="430">
        <v>9</v>
      </c>
      <c r="L10" s="430" t="s">
        <v>79</v>
      </c>
      <c r="M10" s="430" t="s">
        <v>80</v>
      </c>
      <c r="N10" s="430" t="s">
        <v>81</v>
      </c>
      <c r="O10" s="430" t="s">
        <v>82</v>
      </c>
      <c r="P10" s="430" t="s">
        <v>83</v>
      </c>
      <c r="Q10" s="430" t="s">
        <v>234</v>
      </c>
      <c r="R10" s="430" t="s">
        <v>235</v>
      </c>
      <c r="S10" s="430" t="s">
        <v>236</v>
      </c>
      <c r="T10" s="431" t="s">
        <v>237</v>
      </c>
    </row>
    <row r="11" spans="1:27" s="384" customFormat="1" ht="24" customHeight="1">
      <c r="A11" s="442"/>
      <c r="B11" s="507" t="s">
        <v>115</v>
      </c>
      <c r="C11" s="507">
        <f aca="true" t="shared" si="0" ref="C11:S11">C12+C24+C32+C39+C47+C51+C55+C58</f>
        <v>124091605</v>
      </c>
      <c r="D11" s="507">
        <f t="shared" si="0"/>
        <v>78414739</v>
      </c>
      <c r="E11" s="507">
        <f t="shared" si="0"/>
        <v>45676866</v>
      </c>
      <c r="F11" s="507">
        <f t="shared" si="0"/>
        <v>3750084</v>
      </c>
      <c r="G11" s="507">
        <f t="shared" si="0"/>
        <v>570000</v>
      </c>
      <c r="H11" s="507">
        <f t="shared" si="0"/>
        <v>120341521</v>
      </c>
      <c r="I11" s="507">
        <f t="shared" si="0"/>
        <v>63556642</v>
      </c>
      <c r="J11" s="507">
        <f t="shared" si="0"/>
        <v>15359010</v>
      </c>
      <c r="K11" s="507">
        <f t="shared" si="0"/>
        <v>6216329</v>
      </c>
      <c r="L11" s="507">
        <f t="shared" si="0"/>
        <v>137054</v>
      </c>
      <c r="M11" s="507">
        <f t="shared" si="0"/>
        <v>24802498</v>
      </c>
      <c r="N11" s="507">
        <f t="shared" si="0"/>
        <v>16710779</v>
      </c>
      <c r="O11" s="507">
        <f t="shared" si="0"/>
        <v>0</v>
      </c>
      <c r="P11" s="507">
        <f t="shared" si="0"/>
        <v>0</v>
      </c>
      <c r="Q11" s="507">
        <f t="shared" si="0"/>
        <v>330972</v>
      </c>
      <c r="R11" s="507">
        <f t="shared" si="0"/>
        <v>56784879</v>
      </c>
      <c r="S11" s="507">
        <f t="shared" si="0"/>
        <v>98629128</v>
      </c>
      <c r="T11" s="508">
        <f>(K11+J11+L11)/I11</f>
        <v>0.34162272135145216</v>
      </c>
      <c r="U11" s="549">
        <f>I11/H11</f>
        <v>0.5281356050003723</v>
      </c>
      <c r="V11" s="549">
        <f>(S11-R11-52622445)/52622445</f>
        <v>-0.20482126970725134</v>
      </c>
      <c r="W11" s="547">
        <f>(C11-102726233)/102726233</f>
        <v>0.2079836023968678</v>
      </c>
      <c r="X11" s="547">
        <f>(E11-51674276)/51274276</f>
        <v>-0.11696722933737767</v>
      </c>
      <c r="Y11" s="547">
        <f>(H11-99136495)/99136495</f>
        <v>0.2138972736528561</v>
      </c>
      <c r="Z11" s="547">
        <f>(I11-74066833)/74066833</f>
        <v>-0.14190145000529455</v>
      </c>
      <c r="AA11" s="547">
        <f>(J11+K11+L11-19605183)/19605183</f>
        <v>0.10748229180008165</v>
      </c>
    </row>
    <row r="12" spans="1:27" s="384" customFormat="1" ht="26.25" customHeight="1">
      <c r="A12" s="443" t="s">
        <v>0</v>
      </c>
      <c r="B12" s="509" t="s">
        <v>464</v>
      </c>
      <c r="C12" s="510">
        <f>D12+E12</f>
        <v>14960916</v>
      </c>
      <c r="D12" s="510">
        <f aca="true" t="shared" si="1" ref="D12:S12">SUM(D13:D22)</f>
        <v>5780766</v>
      </c>
      <c r="E12" s="510">
        <f t="shared" si="1"/>
        <v>9180150</v>
      </c>
      <c r="F12" s="510">
        <f t="shared" si="1"/>
        <v>976385</v>
      </c>
      <c r="G12" s="510">
        <f t="shared" si="1"/>
        <v>570000</v>
      </c>
      <c r="H12" s="510">
        <f t="shared" si="1"/>
        <v>13984531</v>
      </c>
      <c r="I12" s="510">
        <f t="shared" si="1"/>
        <v>2165052</v>
      </c>
      <c r="J12" s="510">
        <f t="shared" si="1"/>
        <v>1740826</v>
      </c>
      <c r="K12" s="510">
        <f t="shared" si="1"/>
        <v>2089</v>
      </c>
      <c r="L12" s="510">
        <f t="shared" si="1"/>
        <v>76291</v>
      </c>
      <c r="M12" s="510">
        <f t="shared" si="1"/>
        <v>345846</v>
      </c>
      <c r="N12" s="510">
        <f t="shared" si="1"/>
        <v>0</v>
      </c>
      <c r="O12" s="510">
        <f t="shared" si="1"/>
        <v>0</v>
      </c>
      <c r="P12" s="510">
        <f t="shared" si="1"/>
        <v>0</v>
      </c>
      <c r="Q12" s="510">
        <f t="shared" si="1"/>
        <v>0</v>
      </c>
      <c r="R12" s="510">
        <f t="shared" si="1"/>
        <v>11819479</v>
      </c>
      <c r="S12" s="510">
        <f t="shared" si="1"/>
        <v>12165325</v>
      </c>
      <c r="T12" s="511">
        <f>(K12+J12+L12)/I12</f>
        <v>0.8402597258633973</v>
      </c>
      <c r="U12" s="933">
        <f>I12/H12</f>
        <v>0.15481763385557942</v>
      </c>
      <c r="V12" s="933">
        <f>(S12-R12-3081292)/3081292</f>
        <v>-0.8877594203989755</v>
      </c>
      <c r="W12" s="547">
        <f>(C12-6723859)/6723859</f>
        <v>1.2250490380598404</v>
      </c>
      <c r="X12" s="547">
        <f>(E12-1507661)/1507661</f>
        <v>5.089001439978881</v>
      </c>
      <c r="Y12" s="547">
        <f>(H12-6596452)/6596452</f>
        <v>1.1200079982390534</v>
      </c>
      <c r="Z12" s="547">
        <f>(I12-3911274)/3911274</f>
        <v>-0.4464586219221665</v>
      </c>
      <c r="AA12" s="547">
        <f>(J12+K12+L12-771614)/771614</f>
        <v>1.3576632876023504</v>
      </c>
    </row>
    <row r="13" spans="1:20" s="384" customFormat="1" ht="26.25" customHeight="1">
      <c r="A13" s="432" t="s">
        <v>43</v>
      </c>
      <c r="B13" s="520" t="s">
        <v>423</v>
      </c>
      <c r="C13" s="433">
        <f aca="true" t="shared" si="2" ref="C13:C22">D13+E13</f>
        <v>1169899</v>
      </c>
      <c r="D13" s="523">
        <v>678147</v>
      </c>
      <c r="E13" s="477">
        <v>491752</v>
      </c>
      <c r="F13" s="469">
        <v>279631</v>
      </c>
      <c r="G13" s="444">
        <v>0</v>
      </c>
      <c r="H13" s="433">
        <f aca="true" t="shared" si="3" ref="H13:H31">I13+R13</f>
        <v>890268</v>
      </c>
      <c r="I13" s="433">
        <f aca="true" t="shared" si="4" ref="I13:I21">J13+K13+L13+M13+N13+O13+P13+Q13</f>
        <v>206154</v>
      </c>
      <c r="J13" s="477">
        <v>189871</v>
      </c>
      <c r="K13" s="477">
        <v>0</v>
      </c>
      <c r="L13" s="477">
        <v>16283</v>
      </c>
      <c r="M13" s="477">
        <v>0</v>
      </c>
      <c r="N13" s="469"/>
      <c r="O13" s="471">
        <v>0</v>
      </c>
      <c r="P13" s="471">
        <v>0</v>
      </c>
      <c r="Q13" s="471"/>
      <c r="R13" s="492">
        <v>684114</v>
      </c>
      <c r="S13" s="433">
        <f>C13-F13+G13-J13-K13-L13</f>
        <v>684114</v>
      </c>
      <c r="T13" s="445">
        <f aca="true" t="shared" si="5" ref="T13:T60">(K13+J13+L13)/I13</f>
        <v>1</v>
      </c>
    </row>
    <row r="14" spans="1:20" s="384" customFormat="1" ht="26.25" customHeight="1">
      <c r="A14" s="432" t="s">
        <v>44</v>
      </c>
      <c r="B14" s="520" t="s">
        <v>424</v>
      </c>
      <c r="C14" s="433">
        <f t="shared" si="2"/>
        <v>5981798</v>
      </c>
      <c r="D14" s="523">
        <v>1852547</v>
      </c>
      <c r="E14" s="477">
        <v>4129251</v>
      </c>
      <c r="F14" s="469">
        <v>5989</v>
      </c>
      <c r="G14" s="444">
        <v>0</v>
      </c>
      <c r="H14" s="433">
        <f t="shared" si="3"/>
        <v>5975809</v>
      </c>
      <c r="I14" s="433">
        <f t="shared" si="4"/>
        <v>875108</v>
      </c>
      <c r="J14" s="477">
        <v>542519</v>
      </c>
      <c r="K14" s="477">
        <v>0</v>
      </c>
      <c r="L14" s="477">
        <v>6243</v>
      </c>
      <c r="M14" s="477">
        <v>326346</v>
      </c>
      <c r="N14" s="469"/>
      <c r="O14" s="471">
        <v>0</v>
      </c>
      <c r="P14" s="471">
        <v>0</v>
      </c>
      <c r="Q14" s="471"/>
      <c r="R14" s="492">
        <v>5100701</v>
      </c>
      <c r="S14" s="433">
        <f aca="true" t="shared" si="6" ref="S14:S22">C14-F14+G14-J14-K14-L14</f>
        <v>5427047</v>
      </c>
      <c r="T14" s="445">
        <f t="shared" si="5"/>
        <v>0.627079171942206</v>
      </c>
    </row>
    <row r="15" spans="1:20" s="384" customFormat="1" ht="26.25" customHeight="1">
      <c r="A15" s="432" t="s">
        <v>45</v>
      </c>
      <c r="B15" s="520" t="s">
        <v>480</v>
      </c>
      <c r="C15" s="433">
        <f t="shared" si="2"/>
        <v>5512287</v>
      </c>
      <c r="D15" s="523">
        <v>1775502</v>
      </c>
      <c r="E15" s="484">
        <v>3736785</v>
      </c>
      <c r="F15" s="444">
        <v>656014</v>
      </c>
      <c r="G15" s="444">
        <v>570000</v>
      </c>
      <c r="H15" s="433">
        <f t="shared" si="3"/>
        <v>4856273</v>
      </c>
      <c r="I15" s="433">
        <f t="shared" si="4"/>
        <v>700086</v>
      </c>
      <c r="J15" s="484">
        <v>638458</v>
      </c>
      <c r="K15" s="484">
        <v>2089</v>
      </c>
      <c r="L15" s="484">
        <v>44239</v>
      </c>
      <c r="M15" s="484">
        <v>15300</v>
      </c>
      <c r="N15" s="444"/>
      <c r="O15" s="485">
        <v>0</v>
      </c>
      <c r="P15" s="485">
        <v>0</v>
      </c>
      <c r="Q15" s="485"/>
      <c r="R15" s="492">
        <v>4156187</v>
      </c>
      <c r="S15" s="433">
        <f>C15-F15-J15-K15-L15</f>
        <v>4171487</v>
      </c>
      <c r="T15" s="445">
        <f t="shared" si="5"/>
        <v>0.9781455421191111</v>
      </c>
    </row>
    <row r="16" spans="1:20" ht="24.75" customHeight="1">
      <c r="A16" s="432">
        <v>4</v>
      </c>
      <c r="B16" s="521" t="s">
        <v>425</v>
      </c>
      <c r="C16" s="433">
        <f t="shared" si="2"/>
        <v>23327</v>
      </c>
      <c r="D16" s="491">
        <v>0</v>
      </c>
      <c r="E16" s="477">
        <f>23277+50</f>
        <v>23327</v>
      </c>
      <c r="F16" s="469">
        <v>0</v>
      </c>
      <c r="G16" s="444">
        <v>0</v>
      </c>
      <c r="H16" s="433">
        <f t="shared" si="3"/>
        <v>23327</v>
      </c>
      <c r="I16" s="433">
        <f t="shared" si="4"/>
        <v>23327</v>
      </c>
      <c r="J16" s="477">
        <v>23327</v>
      </c>
      <c r="K16" s="477"/>
      <c r="L16" s="477"/>
      <c r="M16" s="477">
        <v>0</v>
      </c>
      <c r="N16" s="469"/>
      <c r="O16" s="471">
        <v>0</v>
      </c>
      <c r="P16" s="471">
        <v>0</v>
      </c>
      <c r="Q16" s="471"/>
      <c r="R16" s="492">
        <v>0</v>
      </c>
      <c r="S16" s="433">
        <f t="shared" si="6"/>
        <v>0</v>
      </c>
      <c r="T16" s="445">
        <f t="shared" si="5"/>
        <v>1</v>
      </c>
    </row>
    <row r="17" spans="1:20" ht="24.75" customHeight="1">
      <c r="A17" s="432">
        <v>5</v>
      </c>
      <c r="B17" s="521" t="s">
        <v>426</v>
      </c>
      <c r="C17" s="433">
        <f t="shared" si="2"/>
        <v>55535</v>
      </c>
      <c r="D17" s="491">
        <v>44825</v>
      </c>
      <c r="E17" s="477">
        <v>10710</v>
      </c>
      <c r="F17" s="469">
        <v>0</v>
      </c>
      <c r="G17" s="444">
        <v>0</v>
      </c>
      <c r="H17" s="433">
        <f t="shared" si="3"/>
        <v>55535</v>
      </c>
      <c r="I17" s="433">
        <f t="shared" si="4"/>
        <v>7800</v>
      </c>
      <c r="J17" s="477">
        <v>7800</v>
      </c>
      <c r="K17" s="477"/>
      <c r="L17" s="477"/>
      <c r="M17" s="477">
        <v>0</v>
      </c>
      <c r="N17" s="469"/>
      <c r="O17" s="471">
        <v>0</v>
      </c>
      <c r="P17" s="471">
        <v>0</v>
      </c>
      <c r="Q17" s="471"/>
      <c r="R17" s="492">
        <v>47735</v>
      </c>
      <c r="S17" s="433">
        <f t="shared" si="6"/>
        <v>47735</v>
      </c>
      <c r="T17" s="445">
        <f t="shared" si="5"/>
        <v>1</v>
      </c>
    </row>
    <row r="18" spans="1:20" ht="24.75" customHeight="1">
      <c r="A18" s="432">
        <v>6</v>
      </c>
      <c r="B18" s="459" t="s">
        <v>427</v>
      </c>
      <c r="C18" s="433">
        <f t="shared" si="2"/>
        <v>1851057</v>
      </c>
      <c r="D18" s="523">
        <v>1388495</v>
      </c>
      <c r="E18" s="477">
        <v>462562</v>
      </c>
      <c r="F18" s="469">
        <v>34751</v>
      </c>
      <c r="G18" s="444">
        <v>0</v>
      </c>
      <c r="H18" s="433">
        <f t="shared" si="3"/>
        <v>1816306</v>
      </c>
      <c r="I18" s="433">
        <f t="shared" si="4"/>
        <v>241575</v>
      </c>
      <c r="J18" s="477">
        <v>232049</v>
      </c>
      <c r="K18" s="477">
        <v>0</v>
      </c>
      <c r="L18" s="477">
        <v>9526</v>
      </c>
      <c r="M18" s="477">
        <v>0</v>
      </c>
      <c r="N18" s="469"/>
      <c r="O18" s="471">
        <v>0</v>
      </c>
      <c r="P18" s="471">
        <v>0</v>
      </c>
      <c r="Q18" s="471"/>
      <c r="R18" s="492">
        <v>1574731</v>
      </c>
      <c r="S18" s="433">
        <f t="shared" si="6"/>
        <v>1574731</v>
      </c>
      <c r="T18" s="445">
        <f t="shared" si="5"/>
        <v>1</v>
      </c>
    </row>
    <row r="19" spans="1:20" ht="28.5" customHeight="1">
      <c r="A19" s="432">
        <v>7</v>
      </c>
      <c r="B19" s="521" t="s">
        <v>428</v>
      </c>
      <c r="C19" s="433">
        <f t="shared" si="2"/>
        <v>37770</v>
      </c>
      <c r="D19" s="491">
        <v>0</v>
      </c>
      <c r="E19" s="477">
        <v>37770</v>
      </c>
      <c r="F19" s="469">
        <v>0</v>
      </c>
      <c r="G19" s="444">
        <v>0</v>
      </c>
      <c r="H19" s="433">
        <f t="shared" si="3"/>
        <v>37770</v>
      </c>
      <c r="I19" s="433">
        <f t="shared" si="4"/>
        <v>37770</v>
      </c>
      <c r="J19" s="477">
        <v>37770</v>
      </c>
      <c r="K19" s="477"/>
      <c r="L19" s="477"/>
      <c r="M19" s="477">
        <v>0</v>
      </c>
      <c r="N19" s="469"/>
      <c r="O19" s="471">
        <v>0</v>
      </c>
      <c r="P19" s="471">
        <v>0</v>
      </c>
      <c r="Q19" s="471"/>
      <c r="R19" s="492">
        <v>0</v>
      </c>
      <c r="S19" s="433">
        <f t="shared" si="6"/>
        <v>0</v>
      </c>
      <c r="T19" s="445">
        <f t="shared" si="5"/>
        <v>1</v>
      </c>
    </row>
    <row r="20" spans="1:20" ht="28.5" customHeight="1">
      <c r="A20" s="432">
        <v>8</v>
      </c>
      <c r="B20" s="521" t="s">
        <v>481</v>
      </c>
      <c r="C20" s="433">
        <f t="shared" si="2"/>
        <v>199902</v>
      </c>
      <c r="D20" s="491">
        <v>40000</v>
      </c>
      <c r="E20" s="477">
        <v>159902</v>
      </c>
      <c r="F20" s="469"/>
      <c r="G20" s="444"/>
      <c r="H20" s="433">
        <f t="shared" si="3"/>
        <v>199902</v>
      </c>
      <c r="I20" s="433">
        <f t="shared" si="4"/>
        <v>11700</v>
      </c>
      <c r="J20" s="477">
        <v>11700</v>
      </c>
      <c r="K20" s="477"/>
      <c r="L20" s="477"/>
      <c r="M20" s="477">
        <v>0</v>
      </c>
      <c r="N20" s="469"/>
      <c r="O20" s="471"/>
      <c r="P20" s="471"/>
      <c r="Q20" s="471"/>
      <c r="R20" s="492">
        <v>188202</v>
      </c>
      <c r="S20" s="433">
        <f t="shared" si="6"/>
        <v>188202</v>
      </c>
      <c r="T20" s="445">
        <f t="shared" si="5"/>
        <v>1</v>
      </c>
    </row>
    <row r="21" spans="1:20" s="384" customFormat="1" ht="24.75" customHeight="1">
      <c r="A21" s="432">
        <v>9</v>
      </c>
      <c r="B21" s="521" t="s">
        <v>429</v>
      </c>
      <c r="C21" s="433">
        <f t="shared" si="2"/>
        <v>38041</v>
      </c>
      <c r="D21" s="491">
        <v>1250</v>
      </c>
      <c r="E21" s="477">
        <v>36791</v>
      </c>
      <c r="F21" s="469">
        <v>0</v>
      </c>
      <c r="G21" s="444">
        <v>0</v>
      </c>
      <c r="H21" s="433">
        <f t="shared" si="3"/>
        <v>38041</v>
      </c>
      <c r="I21" s="433">
        <f t="shared" si="4"/>
        <v>20112</v>
      </c>
      <c r="J21" s="477">
        <v>15912</v>
      </c>
      <c r="K21" s="477"/>
      <c r="L21" s="477"/>
      <c r="M21" s="477">
        <v>4200</v>
      </c>
      <c r="N21" s="469"/>
      <c r="O21" s="471">
        <v>0</v>
      </c>
      <c r="P21" s="471">
        <v>0</v>
      </c>
      <c r="Q21" s="471"/>
      <c r="R21" s="492">
        <v>17929</v>
      </c>
      <c r="S21" s="433">
        <f t="shared" si="6"/>
        <v>22129</v>
      </c>
      <c r="T21" s="445">
        <f t="shared" si="5"/>
        <v>0.7911694510739857</v>
      </c>
    </row>
    <row r="22" spans="1:20" s="384" customFormat="1" ht="24.75" customHeight="1">
      <c r="A22" s="432">
        <v>10</v>
      </c>
      <c r="B22" s="522" t="s">
        <v>430</v>
      </c>
      <c r="C22" s="433">
        <f t="shared" si="2"/>
        <v>91300</v>
      </c>
      <c r="D22" s="491">
        <v>0</v>
      </c>
      <c r="E22" s="477">
        <v>91300</v>
      </c>
      <c r="F22" s="469">
        <v>0</v>
      </c>
      <c r="G22" s="444">
        <v>0</v>
      </c>
      <c r="H22" s="433">
        <f t="shared" si="3"/>
        <v>91300</v>
      </c>
      <c r="I22" s="433">
        <f>J22+K22+L22+M22+N22+O22+P22+Q22</f>
        <v>41420</v>
      </c>
      <c r="J22" s="477">
        <v>41420</v>
      </c>
      <c r="K22" s="477"/>
      <c r="L22" s="477"/>
      <c r="M22" s="477">
        <v>0</v>
      </c>
      <c r="N22" s="469"/>
      <c r="O22" s="471">
        <v>0</v>
      </c>
      <c r="P22" s="471">
        <v>0</v>
      </c>
      <c r="Q22" s="471"/>
      <c r="R22" s="492">
        <v>49880</v>
      </c>
      <c r="S22" s="433">
        <f t="shared" si="6"/>
        <v>49880</v>
      </c>
      <c r="T22" s="445">
        <f t="shared" si="5"/>
        <v>1</v>
      </c>
    </row>
    <row r="23" spans="1:20" s="384" customFormat="1" ht="26.25" customHeight="1">
      <c r="A23" s="397" t="s">
        <v>1</v>
      </c>
      <c r="B23" s="897" t="s">
        <v>17</v>
      </c>
      <c r="C23" s="898"/>
      <c r="D23" s="491"/>
      <c r="E23" s="477"/>
      <c r="F23" s="469"/>
      <c r="G23" s="444"/>
      <c r="H23" s="433"/>
      <c r="I23" s="433"/>
      <c r="J23" s="477"/>
      <c r="K23" s="477"/>
      <c r="L23" s="477"/>
      <c r="M23" s="477"/>
      <c r="N23" s="469"/>
      <c r="O23" s="471"/>
      <c r="P23" s="471"/>
      <c r="Q23" s="471"/>
      <c r="R23" s="492"/>
      <c r="S23" s="433"/>
      <c r="T23" s="445"/>
    </row>
    <row r="24" spans="1:27" s="384" customFormat="1" ht="24.75" customHeight="1">
      <c r="A24" s="512">
        <v>1</v>
      </c>
      <c r="B24" s="509" t="s">
        <v>465</v>
      </c>
      <c r="C24" s="510">
        <f>D24+E24</f>
        <v>52443746</v>
      </c>
      <c r="D24" s="510">
        <f>SUM(D25:D31)</f>
        <v>33507345</v>
      </c>
      <c r="E24" s="510">
        <f>SUM(E25:E31)</f>
        <v>18936401</v>
      </c>
      <c r="F24" s="510">
        <f>SUM(F25:F31)</f>
        <v>1767441</v>
      </c>
      <c r="G24" s="510">
        <f>SUM(G25:G31)</f>
        <v>0</v>
      </c>
      <c r="H24" s="510">
        <f>I24+R24</f>
        <v>50676305</v>
      </c>
      <c r="I24" s="510">
        <f aca="true" t="shared" si="7" ref="I24:S24">SUM(I25:I31)</f>
        <v>30699292</v>
      </c>
      <c r="J24" s="510">
        <f t="shared" si="7"/>
        <v>4379563</v>
      </c>
      <c r="K24" s="510">
        <f t="shared" si="7"/>
        <v>3848372</v>
      </c>
      <c r="L24" s="510">
        <f t="shared" si="7"/>
        <v>7178</v>
      </c>
      <c r="M24" s="510">
        <f t="shared" si="7"/>
        <v>7276530</v>
      </c>
      <c r="N24" s="510">
        <f t="shared" si="7"/>
        <v>15022647</v>
      </c>
      <c r="O24" s="510">
        <f t="shared" si="7"/>
        <v>0</v>
      </c>
      <c r="P24" s="510">
        <f t="shared" si="7"/>
        <v>0</v>
      </c>
      <c r="Q24" s="510">
        <f t="shared" si="7"/>
        <v>165002</v>
      </c>
      <c r="R24" s="510">
        <f t="shared" si="7"/>
        <v>19977013</v>
      </c>
      <c r="S24" s="510">
        <f t="shared" si="7"/>
        <v>42441192</v>
      </c>
      <c r="T24" s="511">
        <f>(K24+J24+L24)/I24</f>
        <v>0.2682509094998021</v>
      </c>
      <c r="U24" s="931">
        <f>I24/H24</f>
        <v>0.6057918390064153</v>
      </c>
      <c r="V24" s="932">
        <f>(S24-R24-20167929)/20167929</f>
        <v>0.11385650951071873</v>
      </c>
      <c r="W24" s="547">
        <f>(C24-44474608)/44474608</f>
        <v>0.17918399640531965</v>
      </c>
      <c r="X24" s="547">
        <f>(E24-16998576)/16998576</f>
        <v>0.11399925499641853</v>
      </c>
      <c r="Y24" s="547">
        <f>(H24-43568618)/43568618</f>
        <v>0.16313776581116252</v>
      </c>
      <c r="Z24" s="547">
        <f>(I24-30281334)/30281334</f>
        <v>0.0138024962836842</v>
      </c>
      <c r="AA24" s="547">
        <f>(J24+K24+L24-9914884)/9914884</f>
        <v>-0.1694191278485961</v>
      </c>
    </row>
    <row r="25" spans="1:20" s="384" customFormat="1" ht="24.75" customHeight="1">
      <c r="A25" s="432" t="s">
        <v>43</v>
      </c>
      <c r="B25" s="446" t="s">
        <v>432</v>
      </c>
      <c r="C25" s="433">
        <f>D25+E25</f>
        <v>722081</v>
      </c>
      <c r="D25" s="441">
        <v>377595</v>
      </c>
      <c r="E25" s="441">
        <v>344486</v>
      </c>
      <c r="F25" s="441">
        <v>73135</v>
      </c>
      <c r="G25" s="441">
        <v>0</v>
      </c>
      <c r="H25" s="433">
        <f t="shared" si="3"/>
        <v>648946</v>
      </c>
      <c r="I25" s="433">
        <f aca="true" t="shared" si="8" ref="I25:I31">SUM(J25:Q25)</f>
        <v>648946</v>
      </c>
      <c r="J25" s="441">
        <v>605299</v>
      </c>
      <c r="K25" s="441">
        <v>43647</v>
      </c>
      <c r="L25" s="441">
        <v>0</v>
      </c>
      <c r="M25" s="441">
        <v>0</v>
      </c>
      <c r="N25" s="441">
        <v>0</v>
      </c>
      <c r="O25" s="441"/>
      <c r="P25" s="441"/>
      <c r="Q25" s="441"/>
      <c r="R25" s="441">
        <v>0</v>
      </c>
      <c r="S25" s="433">
        <f>C25-F25-G25-J25-K25-L25</f>
        <v>0</v>
      </c>
      <c r="T25" s="445">
        <f t="shared" si="5"/>
        <v>1</v>
      </c>
    </row>
    <row r="26" spans="1:20" s="384" customFormat="1" ht="24.75" customHeight="1">
      <c r="A26" s="432" t="s">
        <v>44</v>
      </c>
      <c r="B26" s="447" t="s">
        <v>433</v>
      </c>
      <c r="C26" s="433">
        <f aca="true" t="shared" si="9" ref="C26:C31">D26+E26</f>
        <v>5117874</v>
      </c>
      <c r="D26" s="441">
        <v>3246568</v>
      </c>
      <c r="E26" s="441">
        <v>1871306</v>
      </c>
      <c r="F26" s="441">
        <v>383750</v>
      </c>
      <c r="G26" s="441">
        <v>0</v>
      </c>
      <c r="H26" s="433">
        <f t="shared" si="3"/>
        <v>4734124</v>
      </c>
      <c r="I26" s="433">
        <f t="shared" si="8"/>
        <v>1885461</v>
      </c>
      <c r="J26" s="441">
        <v>729903</v>
      </c>
      <c r="K26" s="441">
        <v>43758</v>
      </c>
      <c r="L26" s="441">
        <v>0</v>
      </c>
      <c r="M26" s="441">
        <v>778650</v>
      </c>
      <c r="N26" s="441">
        <v>211150</v>
      </c>
      <c r="O26" s="441">
        <v>0</v>
      </c>
      <c r="P26" s="441"/>
      <c r="Q26" s="441">
        <v>122000</v>
      </c>
      <c r="R26" s="441">
        <v>2848663</v>
      </c>
      <c r="S26" s="433">
        <f aca="true" t="shared" si="10" ref="S26:S31">C26-F26-G26-J26-K26-L26</f>
        <v>3960463</v>
      </c>
      <c r="T26" s="445">
        <f t="shared" si="5"/>
        <v>0.4103298874917063</v>
      </c>
    </row>
    <row r="27" spans="1:20" s="384" customFormat="1" ht="24.75" customHeight="1">
      <c r="A27" s="432" t="s">
        <v>45</v>
      </c>
      <c r="B27" s="446" t="s">
        <v>434</v>
      </c>
      <c r="C27" s="433">
        <f t="shared" si="9"/>
        <v>8366265</v>
      </c>
      <c r="D27" s="441">
        <v>3100237</v>
      </c>
      <c r="E27" s="441">
        <v>5266028</v>
      </c>
      <c r="F27" s="441">
        <v>987935</v>
      </c>
      <c r="G27" s="441">
        <v>0</v>
      </c>
      <c r="H27" s="433">
        <f t="shared" si="3"/>
        <v>7378330</v>
      </c>
      <c r="I27" s="433">
        <f t="shared" si="8"/>
        <v>2865907</v>
      </c>
      <c r="J27" s="441">
        <v>758952</v>
      </c>
      <c r="K27" s="441">
        <v>1297186</v>
      </c>
      <c r="L27" s="441">
        <v>0</v>
      </c>
      <c r="M27" s="441">
        <v>304217</v>
      </c>
      <c r="N27" s="441">
        <v>505552</v>
      </c>
      <c r="O27" s="441"/>
      <c r="P27" s="441"/>
      <c r="Q27" s="441"/>
      <c r="R27" s="441">
        <v>4512423</v>
      </c>
      <c r="S27" s="433">
        <f t="shared" si="10"/>
        <v>5322192</v>
      </c>
      <c r="T27" s="445">
        <f t="shared" si="5"/>
        <v>0.7174475654653134</v>
      </c>
    </row>
    <row r="28" spans="1:20" s="384" customFormat="1" ht="24.75" customHeight="1">
      <c r="A28" s="432" t="s">
        <v>54</v>
      </c>
      <c r="B28" s="447" t="s">
        <v>477</v>
      </c>
      <c r="C28" s="433">
        <f t="shared" si="9"/>
        <v>13844831</v>
      </c>
      <c r="D28" s="441">
        <v>9612928</v>
      </c>
      <c r="E28" s="441">
        <v>4231903</v>
      </c>
      <c r="F28" s="441">
        <v>25401</v>
      </c>
      <c r="G28" s="441">
        <v>0</v>
      </c>
      <c r="H28" s="433">
        <f t="shared" si="3"/>
        <v>13819430</v>
      </c>
      <c r="I28" s="433">
        <f t="shared" si="8"/>
        <v>5633996</v>
      </c>
      <c r="J28" s="441">
        <v>329345</v>
      </c>
      <c r="K28" s="441">
        <v>1672374</v>
      </c>
      <c r="L28" s="441">
        <v>2865</v>
      </c>
      <c r="M28" s="441">
        <v>2012290</v>
      </c>
      <c r="N28" s="441">
        <v>1574120</v>
      </c>
      <c r="O28" s="441"/>
      <c r="P28" s="441"/>
      <c r="Q28" s="441">
        <v>43002</v>
      </c>
      <c r="R28" s="441">
        <v>8185434</v>
      </c>
      <c r="S28" s="433">
        <f t="shared" si="10"/>
        <v>11814846</v>
      </c>
      <c r="T28" s="445">
        <f t="shared" si="5"/>
        <v>0.3558014595679514</v>
      </c>
    </row>
    <row r="29" spans="1:20" s="384" customFormat="1" ht="24.75" customHeight="1">
      <c r="A29" s="432" t="s">
        <v>55</v>
      </c>
      <c r="B29" s="447" t="s">
        <v>476</v>
      </c>
      <c r="C29" s="433">
        <f t="shared" si="9"/>
        <v>16933217</v>
      </c>
      <c r="D29" s="441">
        <v>14031582</v>
      </c>
      <c r="E29" s="441">
        <v>2901635</v>
      </c>
      <c r="F29" s="441">
        <v>9100</v>
      </c>
      <c r="G29" s="441">
        <v>0</v>
      </c>
      <c r="H29" s="433">
        <f t="shared" si="3"/>
        <v>16924117</v>
      </c>
      <c r="I29" s="433">
        <f t="shared" si="8"/>
        <v>15450682</v>
      </c>
      <c r="J29" s="441">
        <v>481757</v>
      </c>
      <c r="K29" s="441">
        <v>504267</v>
      </c>
      <c r="L29" s="441">
        <v>0</v>
      </c>
      <c r="M29" s="441">
        <v>1732833</v>
      </c>
      <c r="N29" s="441">
        <v>12731825</v>
      </c>
      <c r="O29" s="441"/>
      <c r="P29" s="441"/>
      <c r="Q29" s="441">
        <v>0</v>
      </c>
      <c r="R29" s="441">
        <v>1473435</v>
      </c>
      <c r="S29" s="433">
        <f t="shared" si="10"/>
        <v>15938093</v>
      </c>
      <c r="T29" s="445">
        <f t="shared" si="5"/>
        <v>0.06381750656702403</v>
      </c>
    </row>
    <row r="30" spans="1:20" s="384" customFormat="1" ht="24.75" customHeight="1">
      <c r="A30" s="432" t="s">
        <v>56</v>
      </c>
      <c r="B30" s="446" t="s">
        <v>474</v>
      </c>
      <c r="C30" s="433">
        <f t="shared" si="9"/>
        <v>3244324</v>
      </c>
      <c r="D30" s="441">
        <v>1340147</v>
      </c>
      <c r="E30" s="441">
        <v>1904177</v>
      </c>
      <c r="F30" s="441">
        <v>168050</v>
      </c>
      <c r="G30" s="441"/>
      <c r="H30" s="433">
        <f t="shared" si="3"/>
        <v>3076274</v>
      </c>
      <c r="I30" s="433">
        <f t="shared" si="8"/>
        <v>2152846</v>
      </c>
      <c r="J30" s="441">
        <v>1094510</v>
      </c>
      <c r="K30" s="441">
        <v>252233</v>
      </c>
      <c r="L30" s="441">
        <v>0</v>
      </c>
      <c r="M30" s="441">
        <v>806103</v>
      </c>
      <c r="N30" s="441">
        <v>0</v>
      </c>
      <c r="O30" s="441">
        <v>0</v>
      </c>
      <c r="P30" s="441"/>
      <c r="Q30" s="441"/>
      <c r="R30" s="441">
        <v>923428</v>
      </c>
      <c r="S30" s="433">
        <f t="shared" si="10"/>
        <v>1729531</v>
      </c>
      <c r="T30" s="445">
        <f t="shared" si="5"/>
        <v>0.6255640208356752</v>
      </c>
    </row>
    <row r="31" spans="1:20" s="384" customFormat="1" ht="24.75" customHeight="1">
      <c r="A31" s="432" t="s">
        <v>57</v>
      </c>
      <c r="B31" s="446" t="s">
        <v>437</v>
      </c>
      <c r="C31" s="433">
        <f t="shared" si="9"/>
        <v>4215154</v>
      </c>
      <c r="D31" s="441">
        <v>1798288</v>
      </c>
      <c r="E31" s="441">
        <v>2416866</v>
      </c>
      <c r="F31" s="441">
        <v>120070</v>
      </c>
      <c r="G31" s="441">
        <v>0</v>
      </c>
      <c r="H31" s="433">
        <f t="shared" si="3"/>
        <v>4095084</v>
      </c>
      <c r="I31" s="433">
        <f t="shared" si="8"/>
        <v>2061454</v>
      </c>
      <c r="J31" s="441">
        <v>379797</v>
      </c>
      <c r="K31" s="441">
        <v>34907</v>
      </c>
      <c r="L31" s="441">
        <v>4313</v>
      </c>
      <c r="M31" s="486">
        <v>1642437</v>
      </c>
      <c r="N31" s="441">
        <v>0</v>
      </c>
      <c r="O31" s="441">
        <v>0</v>
      </c>
      <c r="P31" s="441"/>
      <c r="Q31" s="441"/>
      <c r="R31" s="441">
        <v>2033630</v>
      </c>
      <c r="S31" s="433">
        <f t="shared" si="10"/>
        <v>3676067</v>
      </c>
      <c r="T31" s="445">
        <f t="shared" si="5"/>
        <v>0.2032628426343736</v>
      </c>
    </row>
    <row r="32" spans="1:27" s="384" customFormat="1" ht="29.25" customHeight="1">
      <c r="A32" s="512">
        <v>2</v>
      </c>
      <c r="B32" s="509" t="s">
        <v>438</v>
      </c>
      <c r="C32" s="510">
        <f>D32+E32</f>
        <v>9487336</v>
      </c>
      <c r="D32" s="510">
        <f>SUM(D33:D38)</f>
        <v>5960982</v>
      </c>
      <c r="E32" s="510">
        <f>SUM(E33:E38)</f>
        <v>3526354</v>
      </c>
      <c r="F32" s="510">
        <f>SUM(F33:F38)</f>
        <v>180789</v>
      </c>
      <c r="G32" s="510">
        <f>SUM(G33:G38)</f>
        <v>0</v>
      </c>
      <c r="H32" s="510">
        <f>I32+R32</f>
        <v>9306547</v>
      </c>
      <c r="I32" s="510">
        <f>SUM(J32:Q32)</f>
        <v>6635150</v>
      </c>
      <c r="J32" s="510">
        <f aca="true" t="shared" si="11" ref="J32:S32">SUM(J33:J38)</f>
        <v>2199074</v>
      </c>
      <c r="K32" s="510">
        <f t="shared" si="11"/>
        <v>1942971</v>
      </c>
      <c r="L32" s="510">
        <f t="shared" si="11"/>
        <v>5388</v>
      </c>
      <c r="M32" s="510">
        <f t="shared" si="11"/>
        <v>2364717</v>
      </c>
      <c r="N32" s="510">
        <f t="shared" si="11"/>
        <v>0</v>
      </c>
      <c r="O32" s="510">
        <f t="shared" si="11"/>
        <v>0</v>
      </c>
      <c r="P32" s="510">
        <f t="shared" si="11"/>
        <v>0</v>
      </c>
      <c r="Q32" s="510">
        <f t="shared" si="11"/>
        <v>123000</v>
      </c>
      <c r="R32" s="510">
        <f t="shared" si="11"/>
        <v>2671397</v>
      </c>
      <c r="S32" s="510">
        <f t="shared" si="11"/>
        <v>5159114</v>
      </c>
      <c r="T32" s="511">
        <f t="shared" si="5"/>
        <v>0.6250699682750201</v>
      </c>
      <c r="U32" s="930">
        <f>I32/H32</f>
        <v>0.7129550842004021</v>
      </c>
      <c r="V32" s="930">
        <f>(S32-R32-3558526)/3558526</f>
        <v>-0.3009136367136281</v>
      </c>
      <c r="W32" s="547">
        <f>(C32-9578066)/9578066</f>
        <v>-0.009472684777908191</v>
      </c>
      <c r="X32" s="547">
        <f>(E32-3758711)/3758711</f>
        <v>-0.0618182669537509</v>
      </c>
      <c r="Y32" s="547">
        <f>(H32-9197107)/9197107</f>
        <v>0.011899394015966108</v>
      </c>
      <c r="Z32" s="547">
        <f>(I32-7706242)/7706242</f>
        <v>-0.13899018483977016</v>
      </c>
      <c r="AA32" s="547">
        <f>(J32+K32+L32-2769243)/2769243</f>
        <v>0.4976775241464906</v>
      </c>
    </row>
    <row r="33" spans="1:20" s="384" customFormat="1" ht="24.75" customHeight="1">
      <c r="A33" s="432" t="s">
        <v>43</v>
      </c>
      <c r="B33" s="448" t="s">
        <v>439</v>
      </c>
      <c r="C33" s="433">
        <f aca="true" t="shared" si="12" ref="C33:C38">D33+E33</f>
        <v>918674</v>
      </c>
      <c r="D33" s="469">
        <v>426355</v>
      </c>
      <c r="E33" s="469">
        <v>492319</v>
      </c>
      <c r="F33" s="469">
        <v>63200</v>
      </c>
      <c r="G33" s="433">
        <v>0</v>
      </c>
      <c r="H33" s="433">
        <f aca="true" t="shared" si="13" ref="H33:H38">I33+R33</f>
        <v>855474</v>
      </c>
      <c r="I33" s="433">
        <f aca="true" t="shared" si="14" ref="I33:I38">SUM(J33:Q33)</f>
        <v>751444</v>
      </c>
      <c r="J33" s="527">
        <v>716823</v>
      </c>
      <c r="K33" s="527">
        <v>23033</v>
      </c>
      <c r="L33" s="527">
        <v>5388</v>
      </c>
      <c r="M33" s="527">
        <v>6200</v>
      </c>
      <c r="N33" s="527">
        <v>0</v>
      </c>
      <c r="O33" s="529">
        <v>0</v>
      </c>
      <c r="P33" s="529">
        <v>0</v>
      </c>
      <c r="Q33" s="529">
        <v>0</v>
      </c>
      <c r="R33" s="530">
        <v>104030</v>
      </c>
      <c r="S33" s="449">
        <f aca="true" t="shared" si="15" ref="S33:S38">C33-F33-G33-J33-K33-L33</f>
        <v>110230</v>
      </c>
      <c r="T33" s="445">
        <f t="shared" si="5"/>
        <v>0.9917492188373318</v>
      </c>
    </row>
    <row r="34" spans="1:20" s="384" customFormat="1" ht="24.75" customHeight="1">
      <c r="A34" s="432" t="s">
        <v>44</v>
      </c>
      <c r="B34" s="448" t="s">
        <v>440</v>
      </c>
      <c r="C34" s="433">
        <f t="shared" si="12"/>
        <v>2947229</v>
      </c>
      <c r="D34" s="469">
        <v>2472318</v>
      </c>
      <c r="E34" s="469">
        <v>474911</v>
      </c>
      <c r="F34" s="469">
        <v>0</v>
      </c>
      <c r="G34" s="433">
        <v>0</v>
      </c>
      <c r="H34" s="433">
        <f t="shared" si="13"/>
        <v>2947229</v>
      </c>
      <c r="I34" s="433">
        <f t="shared" si="14"/>
        <v>1878073</v>
      </c>
      <c r="J34" s="527">
        <v>267659</v>
      </c>
      <c r="K34" s="527">
        <v>842981</v>
      </c>
      <c r="L34" s="527">
        <v>0</v>
      </c>
      <c r="M34" s="527">
        <v>767433</v>
      </c>
      <c r="N34" s="527">
        <v>0</v>
      </c>
      <c r="O34" s="529">
        <v>0</v>
      </c>
      <c r="P34" s="529">
        <v>0</v>
      </c>
      <c r="Q34" s="529">
        <v>0</v>
      </c>
      <c r="R34" s="530">
        <v>1069156</v>
      </c>
      <c r="S34" s="449">
        <f t="shared" si="15"/>
        <v>1836589</v>
      </c>
      <c r="T34" s="445">
        <f t="shared" si="5"/>
        <v>0.5913721138635186</v>
      </c>
    </row>
    <row r="35" spans="1:20" s="384" customFormat="1" ht="24.75" customHeight="1">
      <c r="A35" s="432" t="s">
        <v>45</v>
      </c>
      <c r="B35" s="448" t="s">
        <v>436</v>
      </c>
      <c r="C35" s="433">
        <f t="shared" si="12"/>
        <v>1012219</v>
      </c>
      <c r="D35" s="469">
        <v>198514</v>
      </c>
      <c r="E35" s="469">
        <v>813705</v>
      </c>
      <c r="F35" s="469">
        <v>92890</v>
      </c>
      <c r="G35" s="433">
        <v>0</v>
      </c>
      <c r="H35" s="433">
        <f t="shared" si="13"/>
        <v>919329</v>
      </c>
      <c r="I35" s="433">
        <f t="shared" si="14"/>
        <v>355913</v>
      </c>
      <c r="J35" s="527">
        <v>298441</v>
      </c>
      <c r="K35" s="527">
        <v>21886</v>
      </c>
      <c r="L35" s="527">
        <v>0</v>
      </c>
      <c r="M35" s="527">
        <v>35586</v>
      </c>
      <c r="N35" s="527">
        <v>0</v>
      </c>
      <c r="O35" s="529">
        <v>0</v>
      </c>
      <c r="P35" s="529">
        <v>0</v>
      </c>
      <c r="Q35" s="529">
        <v>0</v>
      </c>
      <c r="R35" s="530">
        <v>563416</v>
      </c>
      <c r="S35" s="449">
        <f t="shared" si="15"/>
        <v>599002</v>
      </c>
      <c r="T35" s="445">
        <f t="shared" si="5"/>
        <v>0.9000148912796104</v>
      </c>
    </row>
    <row r="36" spans="1:20" s="384" customFormat="1" ht="24.75" customHeight="1">
      <c r="A36" s="432" t="s">
        <v>54</v>
      </c>
      <c r="B36" s="448" t="s">
        <v>442</v>
      </c>
      <c r="C36" s="433">
        <f t="shared" si="12"/>
        <v>1131198</v>
      </c>
      <c r="D36" s="469">
        <v>539907</v>
      </c>
      <c r="E36" s="469">
        <v>591291</v>
      </c>
      <c r="F36" s="469">
        <v>23500</v>
      </c>
      <c r="G36" s="433">
        <v>0</v>
      </c>
      <c r="H36" s="433">
        <f t="shared" si="13"/>
        <v>1055406</v>
      </c>
      <c r="I36" s="433">
        <f t="shared" si="14"/>
        <v>920764</v>
      </c>
      <c r="J36" s="527">
        <v>482887</v>
      </c>
      <c r="K36" s="527">
        <v>68113</v>
      </c>
      <c r="L36" s="527">
        <v>0</v>
      </c>
      <c r="M36" s="527">
        <v>366764</v>
      </c>
      <c r="N36" s="527">
        <v>0</v>
      </c>
      <c r="O36" s="529">
        <v>0</v>
      </c>
      <c r="P36" s="529">
        <v>0</v>
      </c>
      <c r="Q36" s="529">
        <v>3000</v>
      </c>
      <c r="R36" s="530">
        <v>134642</v>
      </c>
      <c r="S36" s="449">
        <f t="shared" si="15"/>
        <v>556698</v>
      </c>
      <c r="T36" s="445">
        <f t="shared" si="5"/>
        <v>0.5984160979360618</v>
      </c>
    </row>
    <row r="37" spans="1:20" s="384" customFormat="1" ht="24.75" customHeight="1">
      <c r="A37" s="432" t="s">
        <v>55</v>
      </c>
      <c r="B37" s="448" t="s">
        <v>466</v>
      </c>
      <c r="C37" s="433">
        <f t="shared" si="12"/>
        <v>923862</v>
      </c>
      <c r="D37" s="469">
        <v>441137</v>
      </c>
      <c r="E37" s="469">
        <v>482725</v>
      </c>
      <c r="F37" s="469">
        <v>799</v>
      </c>
      <c r="G37" s="433">
        <v>0</v>
      </c>
      <c r="H37" s="433">
        <f t="shared" si="13"/>
        <v>923063</v>
      </c>
      <c r="I37" s="433">
        <f t="shared" si="14"/>
        <v>402351</v>
      </c>
      <c r="J37" s="527">
        <v>127091</v>
      </c>
      <c r="K37" s="527">
        <v>135269</v>
      </c>
      <c r="L37" s="527">
        <v>0</v>
      </c>
      <c r="M37" s="527">
        <v>139991</v>
      </c>
      <c r="N37" s="527">
        <v>0</v>
      </c>
      <c r="O37" s="529">
        <v>0</v>
      </c>
      <c r="P37" s="529">
        <v>0</v>
      </c>
      <c r="Q37" s="529">
        <v>0</v>
      </c>
      <c r="R37" s="530">
        <v>520712</v>
      </c>
      <c r="S37" s="449">
        <f t="shared" si="15"/>
        <v>660703</v>
      </c>
      <c r="T37" s="445">
        <f t="shared" si="5"/>
        <v>0.6520674734249449</v>
      </c>
    </row>
    <row r="38" spans="1:20" s="384" customFormat="1" ht="24.75" customHeight="1">
      <c r="A38" s="432" t="s">
        <v>56</v>
      </c>
      <c r="B38" s="450" t="s">
        <v>443</v>
      </c>
      <c r="C38" s="433">
        <f t="shared" si="12"/>
        <v>2554154</v>
      </c>
      <c r="D38" s="470">
        <v>1882751</v>
      </c>
      <c r="E38" s="470">
        <v>671403</v>
      </c>
      <c r="F38" s="470">
        <v>400</v>
      </c>
      <c r="G38" s="433">
        <v>0</v>
      </c>
      <c r="H38" s="433">
        <f t="shared" si="13"/>
        <v>2606046</v>
      </c>
      <c r="I38" s="433">
        <f t="shared" si="14"/>
        <v>2326605</v>
      </c>
      <c r="J38" s="528">
        <v>306173</v>
      </c>
      <c r="K38" s="528">
        <v>851689</v>
      </c>
      <c r="L38" s="528">
        <v>0</v>
      </c>
      <c r="M38" s="528">
        <v>1048743</v>
      </c>
      <c r="N38" s="528">
        <v>0</v>
      </c>
      <c r="O38" s="531">
        <v>0</v>
      </c>
      <c r="P38" s="531">
        <v>0</v>
      </c>
      <c r="Q38" s="531">
        <v>120000</v>
      </c>
      <c r="R38" s="532">
        <v>279441</v>
      </c>
      <c r="S38" s="449">
        <f t="shared" si="15"/>
        <v>1395892</v>
      </c>
      <c r="T38" s="445">
        <f t="shared" si="5"/>
        <v>0.49766161424049205</v>
      </c>
    </row>
    <row r="39" spans="1:27" s="384" customFormat="1" ht="35.25" customHeight="1">
      <c r="A39" s="512">
        <v>3</v>
      </c>
      <c r="B39" s="509" t="s">
        <v>463</v>
      </c>
      <c r="C39" s="510">
        <f>D39+E39</f>
        <v>21790072</v>
      </c>
      <c r="D39" s="510">
        <f>SUM(D40:D46)</f>
        <v>17959069</v>
      </c>
      <c r="E39" s="510">
        <f>SUM(E40:E46)</f>
        <v>3831003</v>
      </c>
      <c r="F39" s="510">
        <f>SUM(F40:F46)</f>
        <v>451047</v>
      </c>
      <c r="G39" s="510">
        <f>SUM(G40:G46)</f>
        <v>0</v>
      </c>
      <c r="H39" s="510">
        <f>I39+R39</f>
        <v>21339025</v>
      </c>
      <c r="I39" s="510">
        <f>SUM(J39:Q39)</f>
        <v>7108006</v>
      </c>
      <c r="J39" s="510">
        <f aca="true" t="shared" si="16" ref="J39:S39">SUM(J40:J46)</f>
        <v>2039938</v>
      </c>
      <c r="K39" s="510">
        <f t="shared" si="16"/>
        <v>226115</v>
      </c>
      <c r="L39" s="510">
        <f t="shared" si="16"/>
        <v>30273</v>
      </c>
      <c r="M39" s="510">
        <f t="shared" si="16"/>
        <v>3357778</v>
      </c>
      <c r="N39" s="510">
        <f t="shared" si="16"/>
        <v>1410932</v>
      </c>
      <c r="O39" s="510">
        <f t="shared" si="16"/>
        <v>0</v>
      </c>
      <c r="P39" s="510">
        <f t="shared" si="16"/>
        <v>0</v>
      </c>
      <c r="Q39" s="510">
        <f t="shared" si="16"/>
        <v>42970</v>
      </c>
      <c r="R39" s="510">
        <f t="shared" si="16"/>
        <v>14231019</v>
      </c>
      <c r="S39" s="510">
        <f t="shared" si="16"/>
        <v>19042699</v>
      </c>
      <c r="T39" s="511">
        <f t="shared" si="5"/>
        <v>0.323061910752467</v>
      </c>
      <c r="U39" s="929">
        <f>I39/H39</f>
        <v>0.3330989115013455</v>
      </c>
      <c r="V39" s="929">
        <f>(S39-R39-12987769)/12987769</f>
        <v>-0.6295222066237858</v>
      </c>
      <c r="W39" s="547">
        <f>(C39-21598887)/2198887</f>
        <v>0.08694625963044031</v>
      </c>
      <c r="X39" s="547">
        <f>(E39-12166688)/12166688</f>
        <v>-0.6851235932079461</v>
      </c>
      <c r="Y39" s="547">
        <f>(H39-19491613)/19491613</f>
        <v>0.09477984197613609</v>
      </c>
      <c r="Z39" s="547">
        <f>(I39-14520075)/14520075</f>
        <v>-0.5104704348978913</v>
      </c>
      <c r="AA39" s="547">
        <f>(J39+K39+L39-2010856)/2010856</f>
        <v>0.14196441714374375</v>
      </c>
    </row>
    <row r="40" spans="1:20" s="384" customFormat="1" ht="24.75" customHeight="1">
      <c r="A40" s="432" t="s">
        <v>43</v>
      </c>
      <c r="B40" s="451" t="s">
        <v>467</v>
      </c>
      <c r="C40" s="433">
        <f aca="true" t="shared" si="17" ref="C40:C60">D40+E40</f>
        <v>249535</v>
      </c>
      <c r="D40" s="441">
        <v>129276</v>
      </c>
      <c r="E40" s="441">
        <v>120259</v>
      </c>
      <c r="F40" s="441">
        <v>0</v>
      </c>
      <c r="G40" s="452">
        <v>0</v>
      </c>
      <c r="H40" s="433">
        <f aca="true" t="shared" si="18" ref="H40:H60">I40+R40</f>
        <v>249535</v>
      </c>
      <c r="I40" s="433">
        <f aca="true" t="shared" si="19" ref="I40:I60">SUM(J40:Q40)</f>
        <v>33168</v>
      </c>
      <c r="J40" s="441">
        <v>27295</v>
      </c>
      <c r="K40" s="441">
        <v>5873</v>
      </c>
      <c r="L40" s="441">
        <v>0</v>
      </c>
      <c r="M40" s="441">
        <v>0</v>
      </c>
      <c r="N40" s="441">
        <v>0</v>
      </c>
      <c r="O40" s="441">
        <v>0</v>
      </c>
      <c r="P40" s="441">
        <v>0</v>
      </c>
      <c r="Q40" s="441">
        <v>0</v>
      </c>
      <c r="R40" s="441">
        <v>216367</v>
      </c>
      <c r="S40" s="433">
        <f aca="true" t="shared" si="20" ref="S40:S46">C40-F40-G40-J40-K40-L40</f>
        <v>216367</v>
      </c>
      <c r="T40" s="445">
        <f t="shared" si="5"/>
        <v>1</v>
      </c>
    </row>
    <row r="41" spans="1:20" s="384" customFormat="1" ht="24.75" customHeight="1">
      <c r="A41" s="432" t="s">
        <v>44</v>
      </c>
      <c r="B41" s="451" t="s">
        <v>445</v>
      </c>
      <c r="C41" s="433">
        <f t="shared" si="17"/>
        <v>1456442</v>
      </c>
      <c r="D41" s="441">
        <v>1112661</v>
      </c>
      <c r="E41" s="441">
        <v>343781</v>
      </c>
      <c r="F41" s="441">
        <v>0</v>
      </c>
      <c r="G41" s="452">
        <v>0</v>
      </c>
      <c r="H41" s="433">
        <f t="shared" si="18"/>
        <v>1456442</v>
      </c>
      <c r="I41" s="433">
        <f t="shared" si="19"/>
        <v>603864</v>
      </c>
      <c r="J41" s="441">
        <v>176536</v>
      </c>
      <c r="K41" s="441">
        <v>59652</v>
      </c>
      <c r="L41" s="441">
        <v>0</v>
      </c>
      <c r="M41" s="441">
        <v>354526</v>
      </c>
      <c r="N41" s="441">
        <v>0</v>
      </c>
      <c r="O41" s="441">
        <v>0</v>
      </c>
      <c r="P41" s="441">
        <v>0</v>
      </c>
      <c r="Q41" s="441">
        <v>13150</v>
      </c>
      <c r="R41" s="441">
        <v>852578</v>
      </c>
      <c r="S41" s="433">
        <f t="shared" si="20"/>
        <v>1220254</v>
      </c>
      <c r="T41" s="445">
        <f t="shared" si="5"/>
        <v>0.3911278036114092</v>
      </c>
    </row>
    <row r="42" spans="1:20" s="384" customFormat="1" ht="24.75" customHeight="1">
      <c r="A42" s="432" t="s">
        <v>45</v>
      </c>
      <c r="B42" s="451" t="s">
        <v>446</v>
      </c>
      <c r="C42" s="433">
        <f t="shared" si="17"/>
        <v>2382519</v>
      </c>
      <c r="D42" s="441">
        <v>971847</v>
      </c>
      <c r="E42" s="441">
        <v>1410672</v>
      </c>
      <c r="F42" s="441">
        <v>281037</v>
      </c>
      <c r="G42" s="452">
        <v>0</v>
      </c>
      <c r="H42" s="433">
        <f t="shared" si="18"/>
        <v>2101482</v>
      </c>
      <c r="I42" s="433">
        <f t="shared" si="19"/>
        <v>545440</v>
      </c>
      <c r="J42" s="441">
        <v>223134</v>
      </c>
      <c r="K42" s="441">
        <v>22972</v>
      </c>
      <c r="L42" s="441">
        <v>26612</v>
      </c>
      <c r="M42" s="441">
        <v>254902</v>
      </c>
      <c r="N42" s="441">
        <v>0</v>
      </c>
      <c r="O42" s="441">
        <v>0</v>
      </c>
      <c r="P42" s="441">
        <v>0</v>
      </c>
      <c r="Q42" s="441">
        <v>17820</v>
      </c>
      <c r="R42" s="441">
        <v>1556042</v>
      </c>
      <c r="S42" s="433">
        <f t="shared" si="20"/>
        <v>1828764</v>
      </c>
      <c r="T42" s="445">
        <f t="shared" si="5"/>
        <v>0.4999963332355529</v>
      </c>
    </row>
    <row r="43" spans="1:20" s="384" customFormat="1" ht="24.75" customHeight="1">
      <c r="A43" s="432" t="s">
        <v>54</v>
      </c>
      <c r="B43" s="451" t="s">
        <v>447</v>
      </c>
      <c r="C43" s="433">
        <f t="shared" si="17"/>
        <v>2507458</v>
      </c>
      <c r="D43" s="441">
        <v>2203071</v>
      </c>
      <c r="E43" s="441">
        <v>304387</v>
      </c>
      <c r="F43" s="441">
        <v>0</v>
      </c>
      <c r="G43" s="452">
        <v>0</v>
      </c>
      <c r="H43" s="433">
        <f t="shared" si="18"/>
        <v>2507458</v>
      </c>
      <c r="I43" s="433">
        <f t="shared" si="19"/>
        <v>1609369</v>
      </c>
      <c r="J43" s="441">
        <v>152137</v>
      </c>
      <c r="K43" s="441">
        <v>30699</v>
      </c>
      <c r="L43" s="441">
        <v>3661</v>
      </c>
      <c r="M43" s="441">
        <v>1419672</v>
      </c>
      <c r="N43" s="441">
        <v>0</v>
      </c>
      <c r="O43" s="441">
        <v>0</v>
      </c>
      <c r="P43" s="441">
        <v>0</v>
      </c>
      <c r="Q43" s="441">
        <v>3200</v>
      </c>
      <c r="R43" s="441">
        <v>898089</v>
      </c>
      <c r="S43" s="433">
        <f t="shared" si="20"/>
        <v>2320961</v>
      </c>
      <c r="T43" s="445">
        <f t="shared" si="5"/>
        <v>0.11588206309429348</v>
      </c>
    </row>
    <row r="44" spans="1:20" s="384" customFormat="1" ht="24.75" customHeight="1">
      <c r="A44" s="432">
        <v>5</v>
      </c>
      <c r="B44" s="451" t="s">
        <v>448</v>
      </c>
      <c r="C44" s="433">
        <f t="shared" si="17"/>
        <v>10592089</v>
      </c>
      <c r="D44" s="441">
        <v>9906791</v>
      </c>
      <c r="E44" s="441">
        <v>685298</v>
      </c>
      <c r="F44" s="441">
        <v>101590</v>
      </c>
      <c r="G44" s="452"/>
      <c r="H44" s="433">
        <f t="shared" si="18"/>
        <v>10490499</v>
      </c>
      <c r="I44" s="433">
        <f t="shared" si="19"/>
        <v>2396261</v>
      </c>
      <c r="J44" s="441">
        <v>587473</v>
      </c>
      <c r="K44" s="441">
        <v>78491</v>
      </c>
      <c r="L44" s="441">
        <v>0</v>
      </c>
      <c r="M44" s="441">
        <v>946097</v>
      </c>
      <c r="N44" s="441">
        <v>784000</v>
      </c>
      <c r="O44" s="441">
        <v>0</v>
      </c>
      <c r="P44" s="441">
        <v>0</v>
      </c>
      <c r="Q44" s="441">
        <v>200</v>
      </c>
      <c r="R44" s="441">
        <v>8094238</v>
      </c>
      <c r="S44" s="433">
        <f t="shared" si="20"/>
        <v>9824535</v>
      </c>
      <c r="T44" s="445">
        <f t="shared" si="5"/>
        <v>0.2779179730421686</v>
      </c>
    </row>
    <row r="45" spans="1:20" s="384" customFormat="1" ht="24.75" customHeight="1">
      <c r="A45" s="432">
        <v>6</v>
      </c>
      <c r="B45" s="451" t="s">
        <v>468</v>
      </c>
      <c r="C45" s="433">
        <f t="shared" si="17"/>
        <v>3937676</v>
      </c>
      <c r="D45" s="441">
        <v>3017836</v>
      </c>
      <c r="E45" s="441">
        <v>919840</v>
      </c>
      <c r="F45" s="441">
        <v>65330</v>
      </c>
      <c r="G45" s="452">
        <v>0</v>
      </c>
      <c r="H45" s="433">
        <f t="shared" si="18"/>
        <v>3872346</v>
      </c>
      <c r="I45" s="433">
        <f t="shared" si="19"/>
        <v>1644449</v>
      </c>
      <c r="J45" s="441">
        <v>816798</v>
      </c>
      <c r="K45" s="441">
        <v>23418</v>
      </c>
      <c r="L45" s="441">
        <v>0</v>
      </c>
      <c r="M45" s="441">
        <v>177101</v>
      </c>
      <c r="N45" s="441">
        <v>626932</v>
      </c>
      <c r="O45" s="441">
        <v>0</v>
      </c>
      <c r="P45" s="441">
        <v>0</v>
      </c>
      <c r="Q45" s="441">
        <v>200</v>
      </c>
      <c r="R45" s="441">
        <v>2227897</v>
      </c>
      <c r="S45" s="433">
        <f t="shared" si="20"/>
        <v>3032130</v>
      </c>
      <c r="T45" s="445">
        <f t="shared" si="5"/>
        <v>0.5109407467182017</v>
      </c>
    </row>
    <row r="46" spans="1:20" s="384" customFormat="1" ht="24.75" customHeight="1">
      <c r="A46" s="432">
        <v>7</v>
      </c>
      <c r="B46" s="451" t="s">
        <v>435</v>
      </c>
      <c r="C46" s="433">
        <f t="shared" si="17"/>
        <v>664353</v>
      </c>
      <c r="D46" s="441">
        <v>617587</v>
      </c>
      <c r="E46" s="441">
        <v>46766</v>
      </c>
      <c r="F46" s="441">
        <v>3090</v>
      </c>
      <c r="G46" s="452">
        <v>0</v>
      </c>
      <c r="H46" s="433">
        <f t="shared" si="18"/>
        <v>661263</v>
      </c>
      <c r="I46" s="433">
        <f t="shared" si="19"/>
        <v>275455</v>
      </c>
      <c r="J46" s="441">
        <v>56565</v>
      </c>
      <c r="K46" s="441">
        <v>5010</v>
      </c>
      <c r="L46" s="441">
        <v>0</v>
      </c>
      <c r="M46" s="441">
        <v>205480</v>
      </c>
      <c r="N46" s="441">
        <v>0</v>
      </c>
      <c r="O46" s="441">
        <v>0</v>
      </c>
      <c r="P46" s="441">
        <v>0</v>
      </c>
      <c r="Q46" s="441">
        <v>8400</v>
      </c>
      <c r="R46" s="441">
        <v>385808</v>
      </c>
      <c r="S46" s="433">
        <f t="shared" si="20"/>
        <v>599688</v>
      </c>
      <c r="T46" s="445">
        <f t="shared" si="5"/>
        <v>0.2235392350837705</v>
      </c>
    </row>
    <row r="47" spans="1:27" s="384" customFormat="1" ht="24.75" customHeight="1">
      <c r="A47" s="512">
        <v>4</v>
      </c>
      <c r="B47" s="509" t="s">
        <v>450</v>
      </c>
      <c r="C47" s="513">
        <f aca="true" t="shared" si="21" ref="C47:S47">SUM(C48:C50)</f>
        <v>14637307</v>
      </c>
      <c r="D47" s="513">
        <f t="shared" si="21"/>
        <v>10312437</v>
      </c>
      <c r="E47" s="513">
        <f t="shared" si="21"/>
        <v>4324870</v>
      </c>
      <c r="F47" s="513">
        <f t="shared" si="21"/>
        <v>11000</v>
      </c>
      <c r="G47" s="513">
        <f t="shared" si="21"/>
        <v>0</v>
      </c>
      <c r="H47" s="513">
        <f t="shared" si="21"/>
        <v>14626307</v>
      </c>
      <c r="I47" s="513">
        <f t="shared" si="21"/>
        <v>12156158</v>
      </c>
      <c r="J47" s="510">
        <f>J48+J49+J50</f>
        <v>2189223</v>
      </c>
      <c r="K47" s="510">
        <f>K48+K49+K50</f>
        <v>97037</v>
      </c>
      <c r="L47" s="510">
        <f aca="true" t="shared" si="22" ref="L47:R47">L48+L49+L50</f>
        <v>0</v>
      </c>
      <c r="M47" s="510">
        <f t="shared" si="22"/>
        <v>9592698</v>
      </c>
      <c r="N47" s="510">
        <f t="shared" si="22"/>
        <v>277200</v>
      </c>
      <c r="O47" s="510">
        <f t="shared" si="22"/>
        <v>0</v>
      </c>
      <c r="P47" s="510">
        <f t="shared" si="22"/>
        <v>0</v>
      </c>
      <c r="Q47" s="510">
        <f t="shared" si="22"/>
        <v>0</v>
      </c>
      <c r="R47" s="510">
        <f t="shared" si="22"/>
        <v>2470149</v>
      </c>
      <c r="S47" s="514">
        <f t="shared" si="21"/>
        <v>12340047</v>
      </c>
      <c r="T47" s="515">
        <f>(K47+J47+L47)/I47</f>
        <v>0.1880742254255004</v>
      </c>
      <c r="U47" s="935">
        <f>I47/H47</f>
        <v>0.831116015819988</v>
      </c>
      <c r="V47" s="555">
        <f>(S47-R47-9373520)/9373520</f>
        <v>0.052955346550708805</v>
      </c>
      <c r="W47" s="547">
        <f>(C47-12473553)/12473553</f>
        <v>0.17346733524922692</v>
      </c>
      <c r="X47" s="547">
        <f>(E47-11337409)/11337409</f>
        <v>-0.6185310065112761</v>
      </c>
      <c r="Y47" s="547">
        <f>(H47-12470397)/12470397</f>
        <v>0.17288222660433344</v>
      </c>
      <c r="Z47" s="547">
        <f>(I47-11525810)/11525810</f>
        <v>0.054690125900045204</v>
      </c>
      <c r="AA47" s="547">
        <f>(J47+K47+L47-2078919)/2078919</f>
        <v>0.09973500651059516</v>
      </c>
    </row>
    <row r="48" spans="1:20" s="384" customFormat="1" ht="24.75" customHeight="1">
      <c r="A48" s="432" t="s">
        <v>43</v>
      </c>
      <c r="B48" s="448" t="s">
        <v>458</v>
      </c>
      <c r="C48" s="433">
        <f t="shared" si="17"/>
        <v>1177781</v>
      </c>
      <c r="D48" s="533">
        <v>108934</v>
      </c>
      <c r="E48" s="533">
        <v>1068847</v>
      </c>
      <c r="F48" s="533">
        <v>7000</v>
      </c>
      <c r="G48" s="453"/>
      <c r="H48" s="434">
        <f t="shared" si="18"/>
        <v>1170781</v>
      </c>
      <c r="I48" s="434">
        <f t="shared" si="19"/>
        <v>448624</v>
      </c>
      <c r="J48" s="533">
        <v>387593</v>
      </c>
      <c r="K48" s="533">
        <v>327</v>
      </c>
      <c r="L48" s="533"/>
      <c r="M48" s="533">
        <v>27704</v>
      </c>
      <c r="N48" s="533">
        <v>33000</v>
      </c>
      <c r="O48" s="533"/>
      <c r="P48" s="533"/>
      <c r="Q48" s="534"/>
      <c r="R48" s="543">
        <v>722157</v>
      </c>
      <c r="S48" s="434">
        <f>C48-F48-G48-J48-K48-L48</f>
        <v>782861</v>
      </c>
      <c r="T48" s="445">
        <f t="shared" si="5"/>
        <v>0.8646884696315846</v>
      </c>
    </row>
    <row r="49" spans="1:20" s="384" customFormat="1" ht="24.75" customHeight="1">
      <c r="A49" s="432" t="s">
        <v>44</v>
      </c>
      <c r="B49" s="448" t="s">
        <v>452</v>
      </c>
      <c r="C49" s="433">
        <f t="shared" si="17"/>
        <v>1916638</v>
      </c>
      <c r="D49" s="533">
        <v>722053</v>
      </c>
      <c r="E49" s="533">
        <v>1194585</v>
      </c>
      <c r="F49" s="533">
        <v>2000</v>
      </c>
      <c r="G49" s="453"/>
      <c r="H49" s="434">
        <f t="shared" si="18"/>
        <v>1914638</v>
      </c>
      <c r="I49" s="434">
        <f t="shared" si="19"/>
        <v>1340854</v>
      </c>
      <c r="J49" s="533">
        <v>875342</v>
      </c>
      <c r="K49" s="533">
        <v>41030</v>
      </c>
      <c r="L49" s="533"/>
      <c r="M49" s="533">
        <v>180282</v>
      </c>
      <c r="N49" s="533">
        <v>244200</v>
      </c>
      <c r="O49" s="533"/>
      <c r="P49" s="533"/>
      <c r="Q49" s="534"/>
      <c r="R49" s="543">
        <v>573784</v>
      </c>
      <c r="S49" s="434">
        <f>C49-F49-G49-J49-K49-L49</f>
        <v>998266</v>
      </c>
      <c r="T49" s="445">
        <f t="shared" si="5"/>
        <v>0.6834241461039009</v>
      </c>
    </row>
    <row r="50" spans="1:20" s="384" customFormat="1" ht="24.75" customHeight="1">
      <c r="A50" s="432">
        <v>3</v>
      </c>
      <c r="B50" s="448" t="s">
        <v>456</v>
      </c>
      <c r="C50" s="433">
        <f t="shared" si="17"/>
        <v>11542888</v>
      </c>
      <c r="D50" s="533">
        <v>9481450</v>
      </c>
      <c r="E50" s="533">
        <v>2061438</v>
      </c>
      <c r="F50" s="533">
        <v>2000</v>
      </c>
      <c r="G50" s="453"/>
      <c r="H50" s="434">
        <f t="shared" si="18"/>
        <v>11540888</v>
      </c>
      <c r="I50" s="434">
        <f t="shared" si="19"/>
        <v>10366680</v>
      </c>
      <c r="J50" s="533">
        <v>926288</v>
      </c>
      <c r="K50" s="533">
        <v>55680</v>
      </c>
      <c r="L50" s="533"/>
      <c r="M50" s="533">
        <v>9384712</v>
      </c>
      <c r="N50" s="533"/>
      <c r="O50" s="533"/>
      <c r="P50" s="533"/>
      <c r="Q50" s="534"/>
      <c r="R50" s="543">
        <v>1174208</v>
      </c>
      <c r="S50" s="434">
        <f>C50-F50-G50-J50-K50-L50</f>
        <v>10558920</v>
      </c>
      <c r="T50" s="445">
        <f t="shared" si="5"/>
        <v>0.0947234794553319</v>
      </c>
    </row>
    <row r="51" spans="1:27" s="384" customFormat="1" ht="24.75" customHeight="1">
      <c r="A51" s="512">
        <v>5</v>
      </c>
      <c r="B51" s="509" t="s">
        <v>453</v>
      </c>
      <c r="C51" s="510">
        <f t="shared" si="17"/>
        <v>6807282</v>
      </c>
      <c r="D51" s="510">
        <f>SUM(D52:D54)</f>
        <v>3502730</v>
      </c>
      <c r="E51" s="510">
        <f>SUM(E52:E54)</f>
        <v>3304552</v>
      </c>
      <c r="F51" s="510">
        <f>SUM(F52:F54)</f>
        <v>134322</v>
      </c>
      <c r="G51" s="510">
        <f>SUM(G52:G54)</f>
        <v>0</v>
      </c>
      <c r="H51" s="510">
        <f>I51+R51</f>
        <v>6672960</v>
      </c>
      <c r="I51" s="510">
        <f t="shared" si="19"/>
        <v>3734278</v>
      </c>
      <c r="J51" s="510">
        <f aca="true" t="shared" si="23" ref="J51:S51">SUM(J52:J54)</f>
        <v>2035213</v>
      </c>
      <c r="K51" s="510">
        <f t="shared" si="23"/>
        <v>37973</v>
      </c>
      <c r="L51" s="510">
        <f t="shared" si="23"/>
        <v>17924</v>
      </c>
      <c r="M51" s="510">
        <f t="shared" si="23"/>
        <v>1643168</v>
      </c>
      <c r="N51" s="510">
        <f t="shared" si="23"/>
        <v>0</v>
      </c>
      <c r="O51" s="510">
        <f t="shared" si="23"/>
        <v>0</v>
      </c>
      <c r="P51" s="510">
        <f t="shared" si="23"/>
        <v>0</v>
      </c>
      <c r="Q51" s="510">
        <f t="shared" si="23"/>
        <v>0</v>
      </c>
      <c r="R51" s="510">
        <f t="shared" si="23"/>
        <v>2938682</v>
      </c>
      <c r="S51" s="510">
        <f t="shared" si="23"/>
        <v>4581850</v>
      </c>
      <c r="T51" s="511">
        <f t="shared" si="5"/>
        <v>0.5599770558057006</v>
      </c>
      <c r="U51" s="934">
        <f>I51/H51</f>
        <v>0.559613424926869</v>
      </c>
      <c r="V51" s="934">
        <f>(S51-R51-2484180)/2484180</f>
        <v>-0.3385471262146865</v>
      </c>
      <c r="W51" s="547">
        <f>(C51-5749366)/5749366</f>
        <v>0.18400567993062192</v>
      </c>
      <c r="X51" s="547">
        <f>(E51-4007389)/4007389</f>
        <v>-0.1753852695608038</v>
      </c>
      <c r="Y51" s="547">
        <f>(H51-5703367)/5703367</f>
        <v>0.1700036136548814</v>
      </c>
      <c r="Z51" s="547">
        <f>(I51-4777298)/4777298</f>
        <v>-0.2183284358647922</v>
      </c>
      <c r="AA51" s="547">
        <f>(J51+K51+L51-1440420)/1440420</f>
        <v>0.45173629913497454</v>
      </c>
    </row>
    <row r="52" spans="1:20" s="384" customFormat="1" ht="24.75" customHeight="1">
      <c r="A52" s="432" t="s">
        <v>43</v>
      </c>
      <c r="B52" s="454" t="s">
        <v>454</v>
      </c>
      <c r="C52" s="433">
        <f>D52+E52</f>
        <v>647908</v>
      </c>
      <c r="D52" s="537">
        <v>323162</v>
      </c>
      <c r="E52" s="537">
        <v>324746</v>
      </c>
      <c r="F52" s="537">
        <v>75600</v>
      </c>
      <c r="G52" s="476"/>
      <c r="H52" s="433">
        <f t="shared" si="18"/>
        <v>572308</v>
      </c>
      <c r="I52" s="433">
        <f t="shared" si="19"/>
        <v>234511</v>
      </c>
      <c r="J52" s="476">
        <v>128660</v>
      </c>
      <c r="K52" s="476">
        <v>0</v>
      </c>
      <c r="L52" s="476">
        <v>0</v>
      </c>
      <c r="M52" s="476">
        <v>105851</v>
      </c>
      <c r="N52" s="476">
        <v>0</v>
      </c>
      <c r="O52" s="535"/>
      <c r="P52" s="535"/>
      <c r="Q52" s="535"/>
      <c r="R52" s="536">
        <v>337797</v>
      </c>
      <c r="S52" s="433">
        <f aca="true" t="shared" si="24" ref="S52:S57">C52-F52-G52-J52-K52-L52</f>
        <v>443648</v>
      </c>
      <c r="T52" s="445">
        <f t="shared" si="5"/>
        <v>0.548630981062722</v>
      </c>
    </row>
    <row r="53" spans="1:20" s="384" customFormat="1" ht="24.75" customHeight="1">
      <c r="A53" s="432" t="s">
        <v>44</v>
      </c>
      <c r="B53" s="454" t="s">
        <v>455</v>
      </c>
      <c r="C53" s="433">
        <f>D53+E53</f>
        <v>1970570</v>
      </c>
      <c r="D53" s="537">
        <v>762166</v>
      </c>
      <c r="E53" s="537">
        <v>1208404</v>
      </c>
      <c r="F53" s="537">
        <v>31200</v>
      </c>
      <c r="G53" s="476"/>
      <c r="H53" s="433">
        <f t="shared" si="18"/>
        <v>1939370</v>
      </c>
      <c r="I53" s="433">
        <f t="shared" si="19"/>
        <v>1259957</v>
      </c>
      <c r="J53" s="476">
        <v>454849</v>
      </c>
      <c r="K53" s="476">
        <v>13350</v>
      </c>
      <c r="L53" s="476">
        <v>13012</v>
      </c>
      <c r="M53" s="476">
        <v>778746</v>
      </c>
      <c r="N53" s="476">
        <v>0</v>
      </c>
      <c r="O53" s="535"/>
      <c r="P53" s="535"/>
      <c r="Q53" s="535"/>
      <c r="R53" s="536">
        <v>679413</v>
      </c>
      <c r="S53" s="433">
        <f t="shared" si="24"/>
        <v>1458159</v>
      </c>
      <c r="T53" s="445">
        <f t="shared" si="5"/>
        <v>0.38192652606398475</v>
      </c>
    </row>
    <row r="54" spans="1:20" s="384" customFormat="1" ht="24.75" customHeight="1">
      <c r="A54" s="432" t="s">
        <v>45</v>
      </c>
      <c r="B54" s="454" t="s">
        <v>449</v>
      </c>
      <c r="C54" s="433">
        <f>D54+E54</f>
        <v>4188804</v>
      </c>
      <c r="D54" s="537">
        <v>2417402</v>
      </c>
      <c r="E54" s="537">
        <v>1771402</v>
      </c>
      <c r="F54" s="537">
        <v>27522</v>
      </c>
      <c r="G54" s="476"/>
      <c r="H54" s="433">
        <f t="shared" si="18"/>
        <v>4161282</v>
      </c>
      <c r="I54" s="433">
        <f t="shared" si="19"/>
        <v>2239810</v>
      </c>
      <c r="J54" s="476">
        <v>1451704</v>
      </c>
      <c r="K54" s="476">
        <v>24623</v>
      </c>
      <c r="L54" s="476">
        <v>4912</v>
      </c>
      <c r="M54" s="476">
        <v>758571</v>
      </c>
      <c r="N54" s="476"/>
      <c r="O54" s="535"/>
      <c r="P54" s="535"/>
      <c r="Q54" s="535"/>
      <c r="R54" s="536">
        <v>1921472</v>
      </c>
      <c r="S54" s="433">
        <f t="shared" si="24"/>
        <v>2680043</v>
      </c>
      <c r="T54" s="445">
        <f t="shared" si="5"/>
        <v>0.6613235051187377</v>
      </c>
    </row>
    <row r="55" spans="1:27" s="384" customFormat="1" ht="28.5" customHeight="1">
      <c r="A55" s="512">
        <v>6</v>
      </c>
      <c r="B55" s="509" t="s">
        <v>457</v>
      </c>
      <c r="C55" s="510">
        <f t="shared" si="17"/>
        <v>1792348</v>
      </c>
      <c r="D55" s="510">
        <f>D56+D57</f>
        <v>954254</v>
      </c>
      <c r="E55" s="510">
        <f>SUM(E56:E57)</f>
        <v>838094</v>
      </c>
      <c r="F55" s="510">
        <f>SUM(F56:F57)</f>
        <v>221200</v>
      </c>
      <c r="G55" s="510">
        <f>SUM(G56:G57)</f>
        <v>0</v>
      </c>
      <c r="H55" s="510">
        <f t="shared" si="18"/>
        <v>1571148</v>
      </c>
      <c r="I55" s="510">
        <f t="shared" si="19"/>
        <v>725969</v>
      </c>
      <c r="J55" s="510">
        <f aca="true" t="shared" si="25" ref="J55:R55">SUM(J56:J57)</f>
        <v>493824</v>
      </c>
      <c r="K55" s="510">
        <f t="shared" si="25"/>
        <v>40689</v>
      </c>
      <c r="L55" s="510">
        <f t="shared" si="25"/>
        <v>0</v>
      </c>
      <c r="M55" s="510">
        <f t="shared" si="25"/>
        <v>191456</v>
      </c>
      <c r="N55" s="510">
        <f t="shared" si="25"/>
        <v>0</v>
      </c>
      <c r="O55" s="510">
        <f t="shared" si="25"/>
        <v>0</v>
      </c>
      <c r="P55" s="510">
        <f t="shared" si="25"/>
        <v>0</v>
      </c>
      <c r="Q55" s="510">
        <f t="shared" si="25"/>
        <v>0</v>
      </c>
      <c r="R55" s="510">
        <f t="shared" si="25"/>
        <v>845179</v>
      </c>
      <c r="S55" s="510">
        <f t="shared" si="24"/>
        <v>1036635</v>
      </c>
      <c r="T55" s="511">
        <f t="shared" si="5"/>
        <v>0.7362752404028271</v>
      </c>
      <c r="U55" s="930">
        <f>I55/H55</f>
        <v>0.4620627719349164</v>
      </c>
      <c r="V55" s="936">
        <f>(S55-R55-324229)/324229</f>
        <v>-0.4095037766516875</v>
      </c>
      <c r="W55" s="547">
        <f>(C55-1469671)/1469671</f>
        <v>0.21955730228057843</v>
      </c>
      <c r="X55" s="547">
        <f>(E55-1294330)/1294330</f>
        <v>-0.3524881598973987</v>
      </c>
      <c r="Y55" s="547">
        <f>(H55-1460168)/1460168</f>
        <v>0.07600495285474</v>
      </c>
      <c r="Z55" s="547">
        <f>(I55-891644)/891644</f>
        <v>-0.1858084616730444</v>
      </c>
      <c r="AA55" s="547">
        <f>(J55+K55+L55-460515)/460515</f>
        <v>0.16068531969642683</v>
      </c>
    </row>
    <row r="56" spans="1:20" s="384" customFormat="1" ht="24.75" customHeight="1">
      <c r="A56" s="432" t="s">
        <v>43</v>
      </c>
      <c r="B56" s="455" t="s">
        <v>451</v>
      </c>
      <c r="C56" s="433">
        <f t="shared" si="17"/>
        <v>1247884</v>
      </c>
      <c r="D56" s="469">
        <v>619071</v>
      </c>
      <c r="E56" s="469">
        <v>628813</v>
      </c>
      <c r="F56" s="469">
        <v>188000</v>
      </c>
      <c r="G56" s="444">
        <v>0</v>
      </c>
      <c r="H56" s="449">
        <f t="shared" si="18"/>
        <v>1059884</v>
      </c>
      <c r="I56" s="449">
        <f>SUM(J56:Q56)</f>
        <v>596524</v>
      </c>
      <c r="J56" s="469">
        <v>408068</v>
      </c>
      <c r="K56" s="469">
        <v>0</v>
      </c>
      <c r="L56" s="469">
        <v>0</v>
      </c>
      <c r="M56" s="469">
        <v>188456</v>
      </c>
      <c r="N56" s="469">
        <v>0</v>
      </c>
      <c r="O56" s="471">
        <v>0</v>
      </c>
      <c r="P56" s="471">
        <v>0</v>
      </c>
      <c r="Q56" s="471">
        <v>0</v>
      </c>
      <c r="R56" s="472">
        <v>463360</v>
      </c>
      <c r="S56" s="433">
        <f t="shared" si="24"/>
        <v>651816</v>
      </c>
      <c r="T56" s="445">
        <f t="shared" si="5"/>
        <v>0.6840764160369072</v>
      </c>
    </row>
    <row r="57" spans="1:20" s="384" customFormat="1" ht="24.75" customHeight="1">
      <c r="A57" s="432" t="s">
        <v>44</v>
      </c>
      <c r="B57" s="448" t="s">
        <v>459</v>
      </c>
      <c r="C57" s="433">
        <f t="shared" si="17"/>
        <v>544464</v>
      </c>
      <c r="D57" s="542">
        <v>335183</v>
      </c>
      <c r="E57" s="475">
        <v>209281</v>
      </c>
      <c r="F57" s="542">
        <v>33200</v>
      </c>
      <c r="G57" s="456">
        <v>0</v>
      </c>
      <c r="H57" s="449">
        <f t="shared" si="18"/>
        <v>511264</v>
      </c>
      <c r="I57" s="449">
        <f t="shared" si="19"/>
        <v>129445</v>
      </c>
      <c r="J57" s="542">
        <v>85756</v>
      </c>
      <c r="K57" s="542">
        <v>40689</v>
      </c>
      <c r="L57" s="518">
        <v>0</v>
      </c>
      <c r="M57" s="475">
        <v>3000</v>
      </c>
      <c r="N57" s="518">
        <v>0</v>
      </c>
      <c r="O57" s="519">
        <v>0</v>
      </c>
      <c r="P57" s="519">
        <v>0</v>
      </c>
      <c r="Q57" s="519">
        <v>0</v>
      </c>
      <c r="R57" s="472">
        <v>381819</v>
      </c>
      <c r="S57" s="433">
        <f t="shared" si="24"/>
        <v>384819</v>
      </c>
      <c r="T57" s="445">
        <f t="shared" si="5"/>
        <v>0.9768241338020008</v>
      </c>
    </row>
    <row r="58" spans="1:27" s="384" customFormat="1" ht="24.75" customHeight="1">
      <c r="A58" s="512">
        <v>7</v>
      </c>
      <c r="B58" s="509" t="s">
        <v>460</v>
      </c>
      <c r="C58" s="516">
        <f t="shared" si="17"/>
        <v>2172598</v>
      </c>
      <c r="D58" s="516">
        <f>SUM(D59:D60)</f>
        <v>437156</v>
      </c>
      <c r="E58" s="516">
        <f>SUM(E59:E60)</f>
        <v>1735442</v>
      </c>
      <c r="F58" s="517">
        <f>F59+F60</f>
        <v>7900</v>
      </c>
      <c r="G58" s="516">
        <f aca="true" t="shared" si="26" ref="G58:S58">SUM(G59:G60)</f>
        <v>0</v>
      </c>
      <c r="H58" s="516">
        <f t="shared" si="26"/>
        <v>2164698</v>
      </c>
      <c r="I58" s="516">
        <f t="shared" si="26"/>
        <v>332737</v>
      </c>
      <c r="J58" s="516">
        <f t="shared" si="26"/>
        <v>281349</v>
      </c>
      <c r="K58" s="516">
        <f t="shared" si="26"/>
        <v>21083</v>
      </c>
      <c r="L58" s="516">
        <f t="shared" si="26"/>
        <v>0</v>
      </c>
      <c r="M58" s="516">
        <f t="shared" si="26"/>
        <v>30305</v>
      </c>
      <c r="N58" s="516">
        <f t="shared" si="26"/>
        <v>0</v>
      </c>
      <c r="O58" s="516">
        <f t="shared" si="26"/>
        <v>0</v>
      </c>
      <c r="P58" s="516">
        <f t="shared" si="26"/>
        <v>0</v>
      </c>
      <c r="Q58" s="516">
        <f t="shared" si="26"/>
        <v>0</v>
      </c>
      <c r="R58" s="516">
        <f t="shared" si="26"/>
        <v>1831961</v>
      </c>
      <c r="S58" s="516">
        <f t="shared" si="26"/>
        <v>1862266</v>
      </c>
      <c r="T58" s="511">
        <f t="shared" si="5"/>
        <v>0.9089220615681454</v>
      </c>
      <c r="U58" s="934">
        <f>I58/H58</f>
        <v>0.15371058688094136</v>
      </c>
      <c r="V58" s="549">
        <f>(S58-R58-75000)/75000</f>
        <v>-0.5959333333333333</v>
      </c>
      <c r="W58" s="547">
        <f>(C58-649223)/649223</f>
        <v>2.3464587668643904</v>
      </c>
      <c r="X58" s="547">
        <f>(E58-603512)/603512</f>
        <v>1.8755716539190603</v>
      </c>
      <c r="Y58" s="547">
        <f>(H58-648773)/648773</f>
        <v>2.3366030953815895</v>
      </c>
      <c r="Z58" s="547">
        <f>(I58-453156)/453156</f>
        <v>-0.26573409598460573</v>
      </c>
      <c r="AA58" s="547">
        <f>(J58+K58+L58-158732)/158732</f>
        <v>0.9052994985258171</v>
      </c>
    </row>
    <row r="59" spans="1:20" s="384" customFormat="1" ht="24.75" customHeight="1">
      <c r="A59" s="443">
        <v>1</v>
      </c>
      <c r="B59" s="457" t="s">
        <v>461</v>
      </c>
      <c r="C59" s="433">
        <f t="shared" si="17"/>
        <v>154089</v>
      </c>
      <c r="D59" s="544">
        <v>80800</v>
      </c>
      <c r="E59" s="539">
        <v>73289</v>
      </c>
      <c r="F59" s="481">
        <v>2800</v>
      </c>
      <c r="G59" s="458">
        <v>0</v>
      </c>
      <c r="H59" s="433">
        <f t="shared" si="18"/>
        <v>151289</v>
      </c>
      <c r="I59" s="433">
        <f t="shared" si="19"/>
        <v>39789</v>
      </c>
      <c r="J59" s="539">
        <v>24014</v>
      </c>
      <c r="K59" s="539">
        <v>0</v>
      </c>
      <c r="L59" s="541">
        <v>0</v>
      </c>
      <c r="M59" s="541">
        <v>15775</v>
      </c>
      <c r="N59" s="540">
        <v>0</v>
      </c>
      <c r="O59" s="539">
        <v>0</v>
      </c>
      <c r="P59" s="539">
        <v>0</v>
      </c>
      <c r="Q59" s="539">
        <v>0</v>
      </c>
      <c r="R59" s="539">
        <v>111500</v>
      </c>
      <c r="S59" s="433">
        <f>C59-F59-G59-J59-K59-L59</f>
        <v>127275</v>
      </c>
      <c r="T59" s="445">
        <f t="shared" si="5"/>
        <v>0.6035336399507402</v>
      </c>
    </row>
    <row r="60" spans="1:20" s="384" customFormat="1" ht="24.75" customHeight="1">
      <c r="A60" s="432">
        <v>2</v>
      </c>
      <c r="B60" s="457" t="s">
        <v>462</v>
      </c>
      <c r="C60" s="433">
        <f t="shared" si="17"/>
        <v>2018509</v>
      </c>
      <c r="D60" s="544">
        <v>356356</v>
      </c>
      <c r="E60" s="539">
        <v>1662153</v>
      </c>
      <c r="F60" s="481">
        <v>5100</v>
      </c>
      <c r="G60" s="458">
        <v>0</v>
      </c>
      <c r="H60" s="433">
        <f t="shared" si="18"/>
        <v>2013409</v>
      </c>
      <c r="I60" s="433">
        <f t="shared" si="19"/>
        <v>292948</v>
      </c>
      <c r="J60" s="539">
        <v>257335</v>
      </c>
      <c r="K60" s="539">
        <v>21083</v>
      </c>
      <c r="L60" s="541">
        <v>0</v>
      </c>
      <c r="M60" s="541">
        <v>14530</v>
      </c>
      <c r="N60" s="540">
        <v>0</v>
      </c>
      <c r="O60" s="539">
        <v>0</v>
      </c>
      <c r="P60" s="539">
        <v>0</v>
      </c>
      <c r="Q60" s="539">
        <v>0</v>
      </c>
      <c r="R60" s="539">
        <v>1720461</v>
      </c>
      <c r="S60" s="433">
        <f>C60-F60-G60-J60-K60-L60</f>
        <v>1734991</v>
      </c>
      <c r="T60" s="445">
        <f t="shared" si="5"/>
        <v>0.9504007537173833</v>
      </c>
    </row>
    <row r="61" spans="1:21" s="384" customFormat="1" ht="24.75" customHeight="1" thickBot="1">
      <c r="A61" s="896" t="s">
        <v>479</v>
      </c>
      <c r="B61" s="896"/>
      <c r="C61" s="896"/>
      <c r="D61" s="896"/>
      <c r="E61" s="896"/>
      <c r="F61" s="896"/>
      <c r="G61" s="896"/>
      <c r="H61" s="896"/>
      <c r="I61" s="896"/>
      <c r="J61" s="896"/>
      <c r="K61" s="896"/>
      <c r="L61" s="896"/>
      <c r="M61" s="896"/>
      <c r="N61" s="896"/>
      <c r="O61" s="896"/>
      <c r="P61" s="896"/>
      <c r="Q61" s="896"/>
      <c r="R61" s="896"/>
      <c r="S61" s="896"/>
      <c r="T61" s="896"/>
      <c r="U61" s="896"/>
    </row>
    <row r="62" spans="1:20" s="383" customFormat="1" ht="29.25" customHeight="1" thickTop="1">
      <c r="A62" s="881"/>
      <c r="B62" s="881"/>
      <c r="C62" s="881"/>
      <c r="D62" s="881"/>
      <c r="E62" s="881"/>
      <c r="F62" s="435"/>
      <c r="G62" s="436"/>
      <c r="H62" s="436"/>
      <c r="I62" s="436"/>
      <c r="J62" s="436"/>
      <c r="K62" s="436"/>
      <c r="L62" s="436"/>
      <c r="M62" s="436"/>
      <c r="N62" s="436"/>
      <c r="O62" s="874" t="str">
        <f>'Thong tin'!B8</f>
        <v>Tuyên Quang, ngày 01  tháng 9  năm 2017</v>
      </c>
      <c r="P62" s="874"/>
      <c r="Q62" s="874"/>
      <c r="R62" s="874"/>
      <c r="S62" s="874"/>
      <c r="T62" s="874"/>
    </row>
    <row r="63" spans="1:20" s="399" customFormat="1" ht="19.5" customHeight="1">
      <c r="A63" s="437"/>
      <c r="B63" s="867" t="s">
        <v>4</v>
      </c>
      <c r="C63" s="867"/>
      <c r="D63" s="867"/>
      <c r="E63" s="867"/>
      <c r="F63" s="438"/>
      <c r="G63" s="438"/>
      <c r="H63" s="438"/>
      <c r="I63" s="438"/>
      <c r="J63" s="438"/>
      <c r="K63" s="438"/>
      <c r="L63" s="438"/>
      <c r="M63" s="438"/>
      <c r="N63" s="438"/>
      <c r="O63" s="871" t="str">
        <f>'Thong tin'!B7</f>
        <v>CỤC TRƯỞNG</v>
      </c>
      <c r="P63" s="871"/>
      <c r="Q63" s="871"/>
      <c r="R63" s="871"/>
      <c r="S63" s="871"/>
      <c r="T63" s="871"/>
    </row>
    <row r="64" spans="1:20" ht="18.75">
      <c r="A64" s="405"/>
      <c r="B64" s="889"/>
      <c r="C64" s="889"/>
      <c r="D64" s="889"/>
      <c r="E64" s="406"/>
      <c r="F64" s="406"/>
      <c r="G64" s="406"/>
      <c r="H64" s="406"/>
      <c r="I64" s="406"/>
      <c r="J64" s="406"/>
      <c r="K64" s="406"/>
      <c r="L64" s="406"/>
      <c r="M64" s="406"/>
      <c r="N64" s="406"/>
      <c r="O64" s="888"/>
      <c r="P64" s="888"/>
      <c r="Q64" s="888"/>
      <c r="R64" s="888"/>
      <c r="S64" s="888"/>
      <c r="T64" s="888"/>
    </row>
    <row r="65" spans="1:20" ht="18.75">
      <c r="A65" s="405"/>
      <c r="B65" s="405"/>
      <c r="C65" s="405"/>
      <c r="D65" s="406"/>
      <c r="E65" s="406"/>
      <c r="F65" s="406"/>
      <c r="G65" s="406"/>
      <c r="H65" s="406"/>
      <c r="I65" s="406"/>
      <c r="J65" s="406"/>
      <c r="K65" s="406"/>
      <c r="L65" s="406"/>
      <c r="M65" s="406"/>
      <c r="N65" s="406"/>
      <c r="O65" s="406"/>
      <c r="P65" s="406"/>
      <c r="Q65" s="406"/>
      <c r="R65" s="406"/>
      <c r="S65" s="405"/>
      <c r="T65" s="405"/>
    </row>
    <row r="66" spans="1:20" ht="15.75">
      <c r="A66" s="404"/>
      <c r="B66" s="887"/>
      <c r="C66" s="887"/>
      <c r="D66" s="887"/>
      <c r="E66" s="413"/>
      <c r="F66" s="413"/>
      <c r="G66" s="413"/>
      <c r="H66" s="413"/>
      <c r="I66" s="413"/>
      <c r="J66" s="413"/>
      <c r="K66" s="413"/>
      <c r="L66" s="413"/>
      <c r="M66" s="413"/>
      <c r="N66" s="413"/>
      <c r="O66" s="413"/>
      <c r="P66" s="413"/>
      <c r="Q66" s="887"/>
      <c r="R66" s="887"/>
      <c r="S66" s="887"/>
      <c r="T66" s="404"/>
    </row>
    <row r="67" spans="1:20" ht="15.75" customHeight="1">
      <c r="A67" s="414"/>
      <c r="B67" s="410"/>
      <c r="C67" s="410"/>
      <c r="D67" s="415"/>
      <c r="E67" s="415"/>
      <c r="F67" s="415"/>
      <c r="G67" s="415"/>
      <c r="H67" s="415"/>
      <c r="I67" s="415"/>
      <c r="J67" s="415"/>
      <c r="K67" s="415"/>
      <c r="L67" s="415"/>
      <c r="M67" s="415"/>
      <c r="N67" s="415"/>
      <c r="O67" s="415"/>
      <c r="P67" s="415"/>
      <c r="Q67" s="415"/>
      <c r="R67" s="415"/>
      <c r="S67" s="410"/>
      <c r="T67" s="410"/>
    </row>
    <row r="68" spans="1:20" ht="15.75" customHeight="1">
      <c r="A68" s="404"/>
      <c r="B68" s="886"/>
      <c r="C68" s="886"/>
      <c r="D68" s="886"/>
      <c r="E68" s="886"/>
      <c r="F68" s="886"/>
      <c r="G68" s="886"/>
      <c r="H68" s="886"/>
      <c r="I68" s="886"/>
      <c r="J68" s="886"/>
      <c r="K68" s="886"/>
      <c r="L68" s="886"/>
      <c r="M68" s="886"/>
      <c r="N68" s="886"/>
      <c r="O68" s="886"/>
      <c r="P68" s="886"/>
      <c r="Q68" s="413"/>
      <c r="R68" s="413"/>
      <c r="S68" s="404"/>
      <c r="T68" s="404"/>
    </row>
    <row r="69" spans="1:20" ht="15.75">
      <c r="A69" s="416"/>
      <c r="B69" s="416"/>
      <c r="C69" s="416"/>
      <c r="D69" s="416"/>
      <c r="E69" s="416"/>
      <c r="F69" s="416"/>
      <c r="G69" s="416"/>
      <c r="H69" s="416"/>
      <c r="I69" s="416"/>
      <c r="J69" s="416"/>
      <c r="K69" s="416"/>
      <c r="L69" s="416"/>
      <c r="M69" s="416"/>
      <c r="N69" s="416"/>
      <c r="O69" s="416"/>
      <c r="P69" s="416"/>
      <c r="Q69" s="416"/>
      <c r="R69" s="404"/>
      <c r="S69" s="404"/>
      <c r="T69" s="404"/>
    </row>
    <row r="70" spans="1:20" ht="18.75">
      <c r="A70" s="404"/>
      <c r="B70" s="885" t="s">
        <v>473</v>
      </c>
      <c r="C70" s="885"/>
      <c r="D70" s="885"/>
      <c r="E70" s="885"/>
      <c r="F70" s="410"/>
      <c r="G70" s="410"/>
      <c r="H70" s="410"/>
      <c r="I70" s="410"/>
      <c r="J70" s="410"/>
      <c r="K70" s="410"/>
      <c r="L70" s="410"/>
      <c r="M70" s="410"/>
      <c r="N70" s="410"/>
      <c r="O70" s="885" t="str">
        <f>'Thong tin'!B6</f>
        <v>Nguyễn Tuyên </v>
      </c>
      <c r="P70" s="885"/>
      <c r="Q70" s="885"/>
      <c r="R70" s="885"/>
      <c r="S70" s="885"/>
      <c r="T70" s="885"/>
    </row>
    <row r="71" spans="2:20" ht="18.75">
      <c r="B71" s="883"/>
      <c r="C71" s="883"/>
      <c r="D71" s="883"/>
      <c r="E71" s="883"/>
      <c r="F71" s="384"/>
      <c r="G71" s="384"/>
      <c r="H71" s="384"/>
      <c r="I71" s="384"/>
      <c r="J71" s="384"/>
      <c r="K71" s="384"/>
      <c r="L71" s="384"/>
      <c r="M71" s="384"/>
      <c r="N71" s="384"/>
      <c r="O71" s="384"/>
      <c r="P71" s="883"/>
      <c r="Q71" s="883"/>
      <c r="R71" s="883"/>
      <c r="S71" s="883"/>
      <c r="T71" s="884"/>
    </row>
  </sheetData>
  <sheetProtection/>
  <mergeCells count="47">
    <mergeCell ref="Z6:Z9"/>
    <mergeCell ref="AA6:AA9"/>
    <mergeCell ref="U6:U9"/>
    <mergeCell ref="V6:V9"/>
    <mergeCell ref="W6:W9"/>
    <mergeCell ref="X6:X9"/>
    <mergeCell ref="Y6:Y9"/>
    <mergeCell ref="O64:T64"/>
    <mergeCell ref="B64:D64"/>
    <mergeCell ref="A6:B9"/>
    <mergeCell ref="Q5:T5"/>
    <mergeCell ref="D7:E7"/>
    <mergeCell ref="D8:D9"/>
    <mergeCell ref="E8:E9"/>
    <mergeCell ref="J8:Q8"/>
    <mergeCell ref="A61:U61"/>
    <mergeCell ref="B23:C23"/>
    <mergeCell ref="A3:D3"/>
    <mergeCell ref="A62:E62"/>
    <mergeCell ref="Q4:T4"/>
    <mergeCell ref="B71:E71"/>
    <mergeCell ref="P71:T71"/>
    <mergeCell ref="B70:E70"/>
    <mergeCell ref="B68:P68"/>
    <mergeCell ref="O70:T70"/>
    <mergeCell ref="Q66:S66"/>
    <mergeCell ref="B66:D66"/>
    <mergeCell ref="E1:P1"/>
    <mergeCell ref="E2:P2"/>
    <mergeCell ref="E3:P3"/>
    <mergeCell ref="F6:F9"/>
    <mergeCell ref="G6:G9"/>
    <mergeCell ref="H6:R6"/>
    <mergeCell ref="C6:E6"/>
    <mergeCell ref="I7:Q7"/>
    <mergeCell ref="I8:I9"/>
    <mergeCell ref="R7:R9"/>
    <mergeCell ref="A2:D2"/>
    <mergeCell ref="Q2:T2"/>
    <mergeCell ref="B63:E63"/>
    <mergeCell ref="A10:B10"/>
    <mergeCell ref="H7:H9"/>
    <mergeCell ref="O63:T63"/>
    <mergeCell ref="T6:T9"/>
    <mergeCell ref="O62:T62"/>
    <mergeCell ref="S6:S9"/>
    <mergeCell ref="C7:C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Z72"/>
  <sheetViews>
    <sheetView showZeros="0" tabSelected="1" zoomScaleSheetLayoutView="85" zoomScalePageLayoutView="0" workbookViewId="0" topLeftCell="F7">
      <pane ySplit="4" topLeftCell="A11" activePane="bottomLeft" state="frozen"/>
      <selection pane="topLeft" activeCell="A7" sqref="A7"/>
      <selection pane="bottomLeft" activeCell="U11" sqref="U1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7.00390625" style="23" customWidth="1"/>
    <col min="17" max="17" width="7.50390625" style="23" customWidth="1"/>
    <col min="18" max="18" width="8.75390625" style="23" customWidth="1"/>
    <col min="19" max="19" width="7.625" style="23" customWidth="1"/>
    <col min="20" max="20" width="9.00390625" style="23" customWidth="1"/>
    <col min="21" max="21" width="11.00390625" style="23" customWidth="1"/>
    <col min="22" max="16384" width="9.00390625" style="23" customWidth="1"/>
  </cols>
  <sheetData>
    <row r="1" spans="1:19" ht="20.25" customHeight="1">
      <c r="A1" s="387" t="s">
        <v>27</v>
      </c>
      <c r="B1" s="387"/>
      <c r="C1" s="387"/>
      <c r="E1" s="910" t="s">
        <v>62</v>
      </c>
      <c r="F1" s="910"/>
      <c r="G1" s="910"/>
      <c r="H1" s="910"/>
      <c r="I1" s="910"/>
      <c r="J1" s="910"/>
      <c r="K1" s="910"/>
      <c r="L1" s="910"/>
      <c r="M1" s="910"/>
      <c r="N1" s="910"/>
      <c r="O1" s="910"/>
      <c r="P1" s="378" t="s">
        <v>414</v>
      </c>
      <c r="Q1" s="378"/>
      <c r="R1" s="378"/>
      <c r="S1" s="378"/>
    </row>
    <row r="2" spans="1:19" ht="17.25" customHeight="1">
      <c r="A2" s="919" t="s">
        <v>226</v>
      </c>
      <c r="B2" s="919"/>
      <c r="C2" s="919"/>
      <c r="D2" s="919"/>
      <c r="E2" s="911" t="s">
        <v>34</v>
      </c>
      <c r="F2" s="911"/>
      <c r="G2" s="911"/>
      <c r="H2" s="911"/>
      <c r="I2" s="911"/>
      <c r="J2" s="911"/>
      <c r="K2" s="911"/>
      <c r="L2" s="911"/>
      <c r="M2" s="911"/>
      <c r="N2" s="911"/>
      <c r="O2" s="911"/>
      <c r="P2" s="920" t="str">
        <f>'Thong tin'!B4</f>
        <v>Cục THADS tỉnh Tuyên Quang</v>
      </c>
      <c r="Q2" s="920"/>
      <c r="R2" s="920"/>
      <c r="S2" s="920"/>
    </row>
    <row r="3" spans="1:19" ht="19.5" customHeight="1">
      <c r="A3" s="919" t="s">
        <v>227</v>
      </c>
      <c r="B3" s="919"/>
      <c r="C3" s="919"/>
      <c r="D3" s="919"/>
      <c r="E3" s="912" t="str">
        <f>'Thong tin'!B3</f>
        <v>11 tháng / năm 2017</v>
      </c>
      <c r="F3" s="912"/>
      <c r="G3" s="912"/>
      <c r="H3" s="912"/>
      <c r="I3" s="912"/>
      <c r="J3" s="912"/>
      <c r="K3" s="912"/>
      <c r="L3" s="912"/>
      <c r="M3" s="912"/>
      <c r="N3" s="912"/>
      <c r="O3" s="912"/>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918" t="s">
        <v>289</v>
      </c>
      <c r="Q4" s="918"/>
      <c r="R4" s="918"/>
      <c r="S4" s="918"/>
    </row>
    <row r="5" spans="2:19" ht="21.75" customHeight="1">
      <c r="B5" s="385"/>
      <c r="C5" s="385"/>
      <c r="Q5" s="391" t="s">
        <v>225</v>
      </c>
      <c r="R5" s="392"/>
      <c r="S5" s="392"/>
    </row>
    <row r="6" spans="1:19" ht="18.75" customHeight="1">
      <c r="A6" s="924" t="s">
        <v>53</v>
      </c>
      <c r="B6" s="924"/>
      <c r="C6" s="901" t="s">
        <v>106</v>
      </c>
      <c r="D6" s="901"/>
      <c r="E6" s="901"/>
      <c r="F6" s="913" t="s">
        <v>97</v>
      </c>
      <c r="G6" s="916" t="s">
        <v>107</v>
      </c>
      <c r="H6" s="917" t="s">
        <v>98</v>
      </c>
      <c r="I6" s="917"/>
      <c r="J6" s="917"/>
      <c r="K6" s="917"/>
      <c r="L6" s="917"/>
      <c r="M6" s="917"/>
      <c r="N6" s="917"/>
      <c r="O6" s="917"/>
      <c r="P6" s="917"/>
      <c r="Q6" s="917"/>
      <c r="R6" s="901" t="s">
        <v>231</v>
      </c>
      <c r="S6" s="901" t="s">
        <v>417</v>
      </c>
    </row>
    <row r="7" spans="1:26" s="378" customFormat="1" ht="18.75" customHeight="1">
      <c r="A7" s="924"/>
      <c r="B7" s="924"/>
      <c r="C7" s="901" t="s">
        <v>42</v>
      </c>
      <c r="D7" s="902" t="s">
        <v>7</v>
      </c>
      <c r="E7" s="902"/>
      <c r="F7" s="914"/>
      <c r="G7" s="916"/>
      <c r="H7" s="916" t="s">
        <v>98</v>
      </c>
      <c r="I7" s="901" t="s">
        <v>99</v>
      </c>
      <c r="J7" s="901"/>
      <c r="K7" s="901"/>
      <c r="L7" s="901"/>
      <c r="M7" s="901"/>
      <c r="N7" s="901"/>
      <c r="O7" s="901"/>
      <c r="P7" s="901"/>
      <c r="Q7" s="916" t="s">
        <v>103</v>
      </c>
      <c r="R7" s="901"/>
      <c r="S7" s="901"/>
      <c r="T7" s="926" t="s">
        <v>484</v>
      </c>
      <c r="U7" s="928" t="s">
        <v>485</v>
      </c>
      <c r="V7" s="925" t="s">
        <v>486</v>
      </c>
      <c r="W7" s="925" t="s">
        <v>487</v>
      </c>
      <c r="X7" s="925" t="s">
        <v>488</v>
      </c>
      <c r="Y7" s="925" t="s">
        <v>489</v>
      </c>
      <c r="Z7" s="925" t="s">
        <v>490</v>
      </c>
    </row>
    <row r="8" spans="1:26" ht="18.75" customHeight="1">
      <c r="A8" s="924"/>
      <c r="B8" s="924"/>
      <c r="C8" s="901"/>
      <c r="D8" s="902" t="s">
        <v>109</v>
      </c>
      <c r="E8" s="902" t="s">
        <v>110</v>
      </c>
      <c r="F8" s="914"/>
      <c r="G8" s="916"/>
      <c r="H8" s="916"/>
      <c r="I8" s="916" t="s">
        <v>416</v>
      </c>
      <c r="J8" s="902" t="s">
        <v>7</v>
      </c>
      <c r="K8" s="902"/>
      <c r="L8" s="902"/>
      <c r="M8" s="902"/>
      <c r="N8" s="902"/>
      <c r="O8" s="902"/>
      <c r="P8" s="902"/>
      <c r="Q8" s="916"/>
      <c r="R8" s="901"/>
      <c r="S8" s="901"/>
      <c r="T8" s="927"/>
      <c r="U8" s="928"/>
      <c r="V8" s="925"/>
      <c r="W8" s="925"/>
      <c r="X8" s="925"/>
      <c r="Y8" s="925"/>
      <c r="Z8" s="925"/>
    </row>
    <row r="9" spans="1:26" ht="134.25" customHeight="1">
      <c r="A9" s="924"/>
      <c r="B9" s="924"/>
      <c r="C9" s="901"/>
      <c r="D9" s="902"/>
      <c r="E9" s="902"/>
      <c r="F9" s="915"/>
      <c r="G9" s="916"/>
      <c r="H9" s="916"/>
      <c r="I9" s="916"/>
      <c r="J9" s="393" t="s">
        <v>111</v>
      </c>
      <c r="K9" s="393" t="s">
        <v>112</v>
      </c>
      <c r="L9" s="394" t="s">
        <v>100</v>
      </c>
      <c r="M9" s="394" t="s">
        <v>113</v>
      </c>
      <c r="N9" s="394" t="s">
        <v>101</v>
      </c>
      <c r="O9" s="394" t="s">
        <v>232</v>
      </c>
      <c r="P9" s="394" t="s">
        <v>102</v>
      </c>
      <c r="Q9" s="916"/>
      <c r="R9" s="901"/>
      <c r="S9" s="901"/>
      <c r="T9" s="927"/>
      <c r="U9" s="928"/>
      <c r="V9" s="925"/>
      <c r="W9" s="925"/>
      <c r="X9" s="925"/>
      <c r="Y9" s="925"/>
      <c r="Z9" s="925"/>
    </row>
    <row r="10" spans="1:21" ht="22.5" customHeight="1">
      <c r="A10" s="903" t="s">
        <v>6</v>
      </c>
      <c r="B10" s="904"/>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c r="T10" s="927"/>
      <c r="U10" s="928"/>
    </row>
    <row r="11" spans="1:26" ht="25.5" customHeight="1">
      <c r="A11" s="906" t="s">
        <v>30</v>
      </c>
      <c r="B11" s="907"/>
      <c r="C11" s="505">
        <f aca="true" t="shared" si="0" ref="C11:R11">C12+C24+C32+C39+C47+C51+C55+C58</f>
        <v>5727</v>
      </c>
      <c r="D11" s="505">
        <f t="shared" si="0"/>
        <v>1425</v>
      </c>
      <c r="E11" s="505">
        <f t="shared" si="0"/>
        <v>4302</v>
      </c>
      <c r="F11" s="505">
        <f t="shared" si="0"/>
        <v>57</v>
      </c>
      <c r="G11" s="505">
        <f t="shared" si="0"/>
        <v>7</v>
      </c>
      <c r="H11" s="505">
        <f t="shared" si="0"/>
        <v>5670</v>
      </c>
      <c r="I11" s="505">
        <f t="shared" si="0"/>
        <v>4396</v>
      </c>
      <c r="J11" s="505">
        <f t="shared" si="0"/>
        <v>3805</v>
      </c>
      <c r="K11" s="505">
        <f t="shared" si="0"/>
        <v>98</v>
      </c>
      <c r="L11" s="505">
        <f t="shared" si="0"/>
        <v>437</v>
      </c>
      <c r="M11" s="505">
        <f t="shared" si="0"/>
        <v>38</v>
      </c>
      <c r="N11" s="505">
        <f t="shared" si="0"/>
        <v>0</v>
      </c>
      <c r="O11" s="505">
        <f t="shared" si="0"/>
        <v>0</v>
      </c>
      <c r="P11" s="505">
        <f t="shared" si="0"/>
        <v>18</v>
      </c>
      <c r="Q11" s="505">
        <f t="shared" si="0"/>
        <v>1274</v>
      </c>
      <c r="R11" s="505">
        <f t="shared" si="0"/>
        <v>1767</v>
      </c>
      <c r="S11" s="506">
        <f>SUM(J11:K11)/SUM(I11)*100%</f>
        <v>0.887852593266606</v>
      </c>
      <c r="T11" s="547">
        <f>I11/H11</f>
        <v>0.7753086419753087</v>
      </c>
      <c r="U11" s="548">
        <f>(R11-Q11-344)/344</f>
        <v>0.4331395348837209</v>
      </c>
      <c r="V11" s="547">
        <f>(C11-5115)/5115</f>
        <v>0.11964809384164223</v>
      </c>
      <c r="W11" s="547">
        <f>(E11-3827)/3827</f>
        <v>0.12411810817873008</v>
      </c>
      <c r="X11" s="547">
        <f>(H11-5074)/5074</f>
        <v>0.11746156878202602</v>
      </c>
      <c r="Y11" s="547">
        <f>(I11-3989)/3989</f>
        <v>0.1020305841062923</v>
      </c>
      <c r="Z11" s="547">
        <f>(J11+K11-3524)/3524</f>
        <v>0.10754824063564132</v>
      </c>
    </row>
    <row r="12" spans="1:26" ht="15">
      <c r="A12" s="397" t="s">
        <v>0</v>
      </c>
      <c r="B12" s="504" t="s">
        <v>76</v>
      </c>
      <c r="C12" s="495">
        <f>D12+E12</f>
        <v>310</v>
      </c>
      <c r="D12" s="495">
        <f aca="true" t="shared" si="1" ref="D12:Q12">SUM(D13:D22)</f>
        <v>72</v>
      </c>
      <c r="E12" s="495">
        <f t="shared" si="1"/>
        <v>238</v>
      </c>
      <c r="F12" s="495">
        <f t="shared" si="1"/>
        <v>0</v>
      </c>
      <c r="G12" s="495">
        <f t="shared" si="1"/>
        <v>7</v>
      </c>
      <c r="H12" s="495">
        <f t="shared" si="1"/>
        <v>310</v>
      </c>
      <c r="I12" s="495">
        <f>SUM(I13:I22)</f>
        <v>149</v>
      </c>
      <c r="J12" s="495">
        <f t="shared" si="1"/>
        <v>138</v>
      </c>
      <c r="K12" s="495">
        <f t="shared" si="1"/>
        <v>0</v>
      </c>
      <c r="L12" s="495">
        <f t="shared" si="1"/>
        <v>11</v>
      </c>
      <c r="M12" s="495">
        <f t="shared" si="1"/>
        <v>0</v>
      </c>
      <c r="N12" s="495">
        <f t="shared" si="1"/>
        <v>0</v>
      </c>
      <c r="O12" s="495">
        <f t="shared" si="1"/>
        <v>0</v>
      </c>
      <c r="P12" s="495">
        <f t="shared" si="1"/>
        <v>0</v>
      </c>
      <c r="Q12" s="495">
        <f t="shared" si="1"/>
        <v>161</v>
      </c>
      <c r="R12" s="495">
        <f>R13+R14+R15+R16+R17+R18+R19+R20+R21+R22</f>
        <v>172</v>
      </c>
      <c r="S12" s="497">
        <f aca="true" t="shared" si="2" ref="S12:S57">SUM(J12:K12)/SUM(I12)*100%</f>
        <v>0.9261744966442953</v>
      </c>
      <c r="T12" s="506">
        <f>I12/H12</f>
        <v>0.4806451612903226</v>
      </c>
      <c r="U12" s="549">
        <f>(R12-Q12-15)/15</f>
        <v>-0.26666666666666666</v>
      </c>
      <c r="V12" s="547">
        <f>(C12-W12146)/146</f>
        <v>2.1232876712328768</v>
      </c>
      <c r="W12" s="547">
        <f>(E12-78)/78</f>
        <v>2.051282051282051</v>
      </c>
      <c r="X12" s="547">
        <f>(H12-142)/142</f>
        <v>1.1830985915492958</v>
      </c>
      <c r="Y12" s="547">
        <f>(I12-86)/86</f>
        <v>0.7325581395348837</v>
      </c>
      <c r="Z12" s="547">
        <f>(J12+K12-66)/66</f>
        <v>1.0909090909090908</v>
      </c>
    </row>
    <row r="13" spans="1:19" ht="18.75" customHeight="1">
      <c r="A13" s="420" t="s">
        <v>43</v>
      </c>
      <c r="B13" s="520" t="s">
        <v>423</v>
      </c>
      <c r="C13" s="418">
        <f>D13+E13</f>
        <v>55</v>
      </c>
      <c r="D13" s="479">
        <v>17</v>
      </c>
      <c r="E13" s="488">
        <v>38</v>
      </c>
      <c r="F13" s="481"/>
      <c r="G13" s="481">
        <v>0</v>
      </c>
      <c r="H13" s="418">
        <f>I13+Q13</f>
        <v>55</v>
      </c>
      <c r="I13" s="418">
        <f>SUM(J13:P13)</f>
        <v>36</v>
      </c>
      <c r="J13" s="488">
        <v>35</v>
      </c>
      <c r="K13" s="488"/>
      <c r="L13" s="488">
        <v>1</v>
      </c>
      <c r="M13" s="475"/>
      <c r="N13" s="489"/>
      <c r="O13" s="489"/>
      <c r="P13" s="489"/>
      <c r="Q13" s="490">
        <v>19</v>
      </c>
      <c r="R13" s="418">
        <f>(C13-F13-J13-K13)+G13</f>
        <v>20</v>
      </c>
      <c r="S13" s="493">
        <f t="shared" si="2"/>
        <v>0.9722222222222222</v>
      </c>
    </row>
    <row r="14" spans="1:19" ht="18.75" customHeight="1">
      <c r="A14" s="420" t="s">
        <v>44</v>
      </c>
      <c r="B14" s="520" t="s">
        <v>424</v>
      </c>
      <c r="C14" s="418">
        <f aca="true" t="shared" si="3" ref="C14:C22">D14+E14</f>
        <v>38</v>
      </c>
      <c r="D14" s="479">
        <v>10</v>
      </c>
      <c r="E14" s="488">
        <v>28</v>
      </c>
      <c r="F14" s="481"/>
      <c r="G14" s="481">
        <v>0</v>
      </c>
      <c r="H14" s="418">
        <f aca="true" t="shared" si="4" ref="H14:H22">I14+Q14</f>
        <v>38</v>
      </c>
      <c r="I14" s="418">
        <f aca="true" t="shared" si="5" ref="I14:I22">SUM(J14:P14)</f>
        <v>26</v>
      </c>
      <c r="J14" s="488">
        <v>23</v>
      </c>
      <c r="K14" s="488">
        <v>0</v>
      </c>
      <c r="L14" s="488">
        <v>3</v>
      </c>
      <c r="M14" s="475"/>
      <c r="N14" s="489"/>
      <c r="O14" s="489"/>
      <c r="P14" s="489"/>
      <c r="Q14" s="490">
        <v>12</v>
      </c>
      <c r="R14" s="418">
        <f aca="true" t="shared" si="6" ref="R14:R48">(C14-F14-J14-K14)+G14</f>
        <v>15</v>
      </c>
      <c r="S14" s="493">
        <f t="shared" si="2"/>
        <v>0.8846153846153846</v>
      </c>
    </row>
    <row r="15" spans="1:19" ht="18.75" customHeight="1">
      <c r="A15" s="420" t="s">
        <v>45</v>
      </c>
      <c r="B15" s="520" t="s">
        <v>480</v>
      </c>
      <c r="C15" s="418">
        <f t="shared" si="3"/>
        <v>123</v>
      </c>
      <c r="D15" s="479">
        <v>25</v>
      </c>
      <c r="E15" s="480">
        <v>98</v>
      </c>
      <c r="F15" s="481"/>
      <c r="G15" s="481">
        <v>7</v>
      </c>
      <c r="H15" s="418">
        <f t="shared" si="4"/>
        <v>123</v>
      </c>
      <c r="I15" s="418">
        <f t="shared" si="5"/>
        <v>22</v>
      </c>
      <c r="J15" s="480">
        <v>16</v>
      </c>
      <c r="K15" s="480"/>
      <c r="L15" s="480">
        <v>6</v>
      </c>
      <c r="M15" s="481"/>
      <c r="N15" s="482"/>
      <c r="O15" s="482"/>
      <c r="P15" s="482"/>
      <c r="Q15" s="490">
        <v>101</v>
      </c>
      <c r="R15" s="418">
        <f>C15-F15-J15-K15</f>
        <v>107</v>
      </c>
      <c r="S15" s="493">
        <f t="shared" si="2"/>
        <v>0.7272727272727273</v>
      </c>
    </row>
    <row r="16" spans="1:19" ht="18.75" customHeight="1">
      <c r="A16" s="420" t="s">
        <v>54</v>
      </c>
      <c r="B16" s="521" t="s">
        <v>425</v>
      </c>
      <c r="C16" s="418">
        <f t="shared" si="3"/>
        <v>5</v>
      </c>
      <c r="D16" s="479">
        <v>0</v>
      </c>
      <c r="E16" s="488">
        <f>4+1</f>
        <v>5</v>
      </c>
      <c r="F16" s="481"/>
      <c r="G16" s="481">
        <v>0</v>
      </c>
      <c r="H16" s="418">
        <f t="shared" si="4"/>
        <v>5</v>
      </c>
      <c r="I16" s="418">
        <f t="shared" si="5"/>
        <v>5</v>
      </c>
      <c r="J16" s="488">
        <v>5</v>
      </c>
      <c r="K16" s="488"/>
      <c r="L16" s="488">
        <v>0</v>
      </c>
      <c r="M16" s="475"/>
      <c r="N16" s="489"/>
      <c r="O16" s="489"/>
      <c r="P16" s="489"/>
      <c r="Q16" s="490">
        <v>0</v>
      </c>
      <c r="R16" s="418">
        <f t="shared" si="6"/>
        <v>0</v>
      </c>
      <c r="S16" s="493">
        <f t="shared" si="2"/>
        <v>1</v>
      </c>
    </row>
    <row r="17" spans="1:19" ht="18.75" customHeight="1">
      <c r="A17" s="420" t="s">
        <v>55</v>
      </c>
      <c r="B17" s="521" t="s">
        <v>426</v>
      </c>
      <c r="C17" s="418">
        <f t="shared" si="3"/>
        <v>7</v>
      </c>
      <c r="D17" s="479">
        <v>2</v>
      </c>
      <c r="E17" s="488">
        <f>4+1</f>
        <v>5</v>
      </c>
      <c r="F17" s="481"/>
      <c r="G17" s="481"/>
      <c r="H17" s="418">
        <f t="shared" si="4"/>
        <v>7</v>
      </c>
      <c r="I17" s="418">
        <f t="shared" si="5"/>
        <v>4</v>
      </c>
      <c r="J17" s="488">
        <v>4</v>
      </c>
      <c r="K17" s="488"/>
      <c r="L17" s="488">
        <v>0</v>
      </c>
      <c r="M17" s="475"/>
      <c r="N17" s="489"/>
      <c r="O17" s="489"/>
      <c r="P17" s="489"/>
      <c r="Q17" s="490">
        <v>3</v>
      </c>
      <c r="R17" s="418">
        <f t="shared" si="6"/>
        <v>3</v>
      </c>
      <c r="S17" s="493">
        <f t="shared" si="2"/>
        <v>1</v>
      </c>
    </row>
    <row r="18" spans="1:19" ht="18.75" customHeight="1">
      <c r="A18" s="420" t="s">
        <v>56</v>
      </c>
      <c r="B18" s="459" t="s">
        <v>427</v>
      </c>
      <c r="C18" s="418">
        <f t="shared" si="3"/>
        <v>55</v>
      </c>
      <c r="D18" s="479">
        <v>16</v>
      </c>
      <c r="E18" s="488">
        <v>39</v>
      </c>
      <c r="F18" s="481"/>
      <c r="G18" s="481">
        <v>0</v>
      </c>
      <c r="H18" s="418">
        <f t="shared" si="4"/>
        <v>55</v>
      </c>
      <c r="I18" s="418">
        <f t="shared" si="5"/>
        <v>38</v>
      </c>
      <c r="J18" s="488">
        <v>38</v>
      </c>
      <c r="K18" s="488">
        <v>0</v>
      </c>
      <c r="L18" s="488">
        <v>0</v>
      </c>
      <c r="M18" s="475"/>
      <c r="N18" s="489"/>
      <c r="O18" s="489"/>
      <c r="P18" s="489"/>
      <c r="Q18" s="490">
        <v>17</v>
      </c>
      <c r="R18" s="418">
        <f t="shared" si="6"/>
        <v>17</v>
      </c>
      <c r="S18" s="493">
        <f t="shared" si="2"/>
        <v>1</v>
      </c>
    </row>
    <row r="19" spans="1:19" ht="18.75" customHeight="1">
      <c r="A19" s="420" t="s">
        <v>57</v>
      </c>
      <c r="B19" s="521" t="s">
        <v>428</v>
      </c>
      <c r="C19" s="418">
        <f t="shared" si="3"/>
        <v>8</v>
      </c>
      <c r="D19" s="479">
        <v>0</v>
      </c>
      <c r="E19" s="488">
        <f>6+2</f>
        <v>8</v>
      </c>
      <c r="F19" s="481"/>
      <c r="G19" s="481">
        <v>0</v>
      </c>
      <c r="H19" s="418">
        <f t="shared" si="4"/>
        <v>8</v>
      </c>
      <c r="I19" s="418">
        <f t="shared" si="5"/>
        <v>8</v>
      </c>
      <c r="J19" s="488">
        <v>8</v>
      </c>
      <c r="K19" s="488"/>
      <c r="L19" s="488">
        <v>0</v>
      </c>
      <c r="M19" s="475"/>
      <c r="N19" s="489"/>
      <c r="O19" s="489"/>
      <c r="P19" s="489"/>
      <c r="Q19" s="490">
        <v>0</v>
      </c>
      <c r="R19" s="418">
        <f>(C19-F19-J19-K19)+G19</f>
        <v>0</v>
      </c>
      <c r="S19" s="493">
        <f t="shared" si="2"/>
        <v>1</v>
      </c>
    </row>
    <row r="20" spans="1:19" ht="18.75" customHeight="1">
      <c r="A20" s="420" t="s">
        <v>58</v>
      </c>
      <c r="B20" s="521" t="s">
        <v>481</v>
      </c>
      <c r="C20" s="418">
        <f t="shared" si="3"/>
        <v>5</v>
      </c>
      <c r="D20" s="479">
        <v>1</v>
      </c>
      <c r="E20" s="488">
        <f>3+1</f>
        <v>4</v>
      </c>
      <c r="F20" s="481"/>
      <c r="G20" s="481"/>
      <c r="H20" s="418">
        <f t="shared" si="4"/>
        <v>5</v>
      </c>
      <c r="I20" s="418">
        <f t="shared" si="5"/>
        <v>1</v>
      </c>
      <c r="J20" s="488">
        <v>1</v>
      </c>
      <c r="K20" s="488">
        <v>0</v>
      </c>
      <c r="L20" s="488">
        <v>0</v>
      </c>
      <c r="M20" s="475">
        <v>0</v>
      </c>
      <c r="N20" s="489">
        <v>0</v>
      </c>
      <c r="O20" s="489">
        <v>0</v>
      </c>
      <c r="P20" s="489">
        <v>0</v>
      </c>
      <c r="Q20" s="490">
        <v>4</v>
      </c>
      <c r="R20" s="418">
        <f>(C20-F20-J20-K20)+G20</f>
        <v>4</v>
      </c>
      <c r="S20" s="493">
        <f t="shared" si="2"/>
        <v>1</v>
      </c>
    </row>
    <row r="21" spans="1:19" ht="18.75" customHeight="1">
      <c r="A21" s="420" t="s">
        <v>59</v>
      </c>
      <c r="B21" s="521" t="s">
        <v>429</v>
      </c>
      <c r="C21" s="418">
        <f t="shared" si="3"/>
        <v>7</v>
      </c>
      <c r="D21" s="479">
        <v>1</v>
      </c>
      <c r="E21" s="488">
        <f>3+1+2</f>
        <v>6</v>
      </c>
      <c r="F21" s="481"/>
      <c r="G21" s="481">
        <v>0</v>
      </c>
      <c r="H21" s="418">
        <f t="shared" si="4"/>
        <v>7</v>
      </c>
      <c r="I21" s="418">
        <f t="shared" si="5"/>
        <v>3</v>
      </c>
      <c r="J21" s="488">
        <v>2</v>
      </c>
      <c r="K21" s="488"/>
      <c r="L21" s="488">
        <v>1</v>
      </c>
      <c r="M21" s="475"/>
      <c r="N21" s="489"/>
      <c r="O21" s="489"/>
      <c r="P21" s="489"/>
      <c r="Q21" s="490">
        <v>4</v>
      </c>
      <c r="R21" s="418">
        <f>(C21-F21-J21-K21)+G21</f>
        <v>5</v>
      </c>
      <c r="S21" s="493">
        <f t="shared" si="2"/>
        <v>0.6666666666666666</v>
      </c>
    </row>
    <row r="22" spans="1:19" ht="18.75" customHeight="1">
      <c r="A22" s="420" t="s">
        <v>79</v>
      </c>
      <c r="B22" s="522" t="s">
        <v>430</v>
      </c>
      <c r="C22" s="418">
        <f t="shared" si="3"/>
        <v>7</v>
      </c>
      <c r="D22" s="479">
        <v>0</v>
      </c>
      <c r="E22" s="488">
        <v>7</v>
      </c>
      <c r="F22" s="481"/>
      <c r="G22" s="481">
        <v>0</v>
      </c>
      <c r="H22" s="418">
        <f t="shared" si="4"/>
        <v>7</v>
      </c>
      <c r="I22" s="418">
        <f t="shared" si="5"/>
        <v>6</v>
      </c>
      <c r="J22" s="488">
        <v>6</v>
      </c>
      <c r="K22" s="488">
        <v>0</v>
      </c>
      <c r="L22" s="488">
        <v>0</v>
      </c>
      <c r="M22" s="475">
        <v>0</v>
      </c>
      <c r="N22" s="489">
        <v>0</v>
      </c>
      <c r="O22" s="489">
        <v>0</v>
      </c>
      <c r="P22" s="489">
        <v>0</v>
      </c>
      <c r="Q22" s="490">
        <v>1</v>
      </c>
      <c r="R22" s="418">
        <f>(C22-F22-J22-K22)+G22</f>
        <v>1</v>
      </c>
      <c r="S22" s="493">
        <f t="shared" si="2"/>
        <v>1</v>
      </c>
    </row>
    <row r="23" spans="1:19" ht="18.75" customHeight="1">
      <c r="A23" s="397" t="s">
        <v>1</v>
      </c>
      <c r="B23" s="398" t="s">
        <v>17</v>
      </c>
      <c r="C23" s="460"/>
      <c r="D23" s="460"/>
      <c r="E23" s="460"/>
      <c r="F23" s="460"/>
      <c r="G23" s="460"/>
      <c r="H23" s="460"/>
      <c r="I23" s="460"/>
      <c r="J23" s="460"/>
      <c r="K23" s="460"/>
      <c r="L23" s="460"/>
      <c r="M23" s="460"/>
      <c r="N23" s="460"/>
      <c r="O23" s="460"/>
      <c r="P23" s="460"/>
      <c r="Q23" s="460"/>
      <c r="R23" s="418"/>
      <c r="S23" s="493"/>
    </row>
    <row r="24" spans="1:26" ht="27.75" customHeight="1">
      <c r="A24" s="397" t="s">
        <v>43</v>
      </c>
      <c r="B24" s="503" t="s">
        <v>431</v>
      </c>
      <c r="C24" s="495">
        <f>D24+E24</f>
        <v>1341</v>
      </c>
      <c r="D24" s="495">
        <f>SUM(D25:D31)</f>
        <v>347</v>
      </c>
      <c r="E24" s="495">
        <f>SUM(E25:E31)</f>
        <v>994</v>
      </c>
      <c r="F24" s="495">
        <f>SUM(F25:F31)</f>
        <v>32</v>
      </c>
      <c r="G24" s="495">
        <f>SUM(G25:G31)</f>
        <v>0</v>
      </c>
      <c r="H24" s="495">
        <f>I24+Q24</f>
        <v>1309</v>
      </c>
      <c r="I24" s="495">
        <f>SUM(J24:P24)</f>
        <v>1071</v>
      </c>
      <c r="J24" s="495">
        <f aca="true" t="shared" si="7" ref="J24:R24">SUM(J25:J31)</f>
        <v>856</v>
      </c>
      <c r="K24" s="495">
        <f t="shared" si="7"/>
        <v>52</v>
      </c>
      <c r="L24" s="495">
        <f t="shared" si="7"/>
        <v>131</v>
      </c>
      <c r="M24" s="495">
        <f t="shared" si="7"/>
        <v>27</v>
      </c>
      <c r="N24" s="495">
        <f t="shared" si="7"/>
        <v>0</v>
      </c>
      <c r="O24" s="495">
        <f t="shared" si="7"/>
        <v>0</v>
      </c>
      <c r="P24" s="495">
        <f t="shared" si="7"/>
        <v>5</v>
      </c>
      <c r="Q24" s="495">
        <f t="shared" si="7"/>
        <v>238</v>
      </c>
      <c r="R24" s="495">
        <f t="shared" si="7"/>
        <v>401</v>
      </c>
      <c r="S24" s="497">
        <f t="shared" si="2"/>
        <v>0.8478057889822596</v>
      </c>
      <c r="T24" s="550">
        <f>I24/H24</f>
        <v>0.8181818181818182</v>
      </c>
      <c r="U24" s="551">
        <f>(R24-Q24-96)/96</f>
        <v>0.6979166666666666</v>
      </c>
      <c r="V24" s="547">
        <f>(C24-1261)/1261</f>
        <v>0.063441712926249</v>
      </c>
      <c r="W24" s="547">
        <f>(E24-922)/922</f>
        <v>0.07809110629067245</v>
      </c>
      <c r="X24" s="547">
        <f>(H24-1243)/1243</f>
        <v>0.05309734513274336</v>
      </c>
      <c r="Y24" s="547">
        <f>(I24-992)/992</f>
        <v>0.07963709677419355</v>
      </c>
      <c r="Z24" s="547">
        <f>(J24+K24-875)/875</f>
        <v>0.037714285714285714</v>
      </c>
    </row>
    <row r="25" spans="1:19" ht="18.75" customHeight="1">
      <c r="A25" s="420" t="s">
        <v>43</v>
      </c>
      <c r="B25" s="446" t="s">
        <v>432</v>
      </c>
      <c r="C25" s="418">
        <f>D25+E25</f>
        <v>155</v>
      </c>
      <c r="D25" s="419">
        <v>18</v>
      </c>
      <c r="E25" s="419">
        <v>137</v>
      </c>
      <c r="F25" s="419">
        <v>12</v>
      </c>
      <c r="G25" s="483">
        <v>0</v>
      </c>
      <c r="H25" s="418">
        <f>I25+Q25</f>
        <v>143</v>
      </c>
      <c r="I25" s="418">
        <f aca="true" t="shared" si="8" ref="I25:I60">SUM(J25:P25)</f>
        <v>143</v>
      </c>
      <c r="J25" s="419">
        <v>140</v>
      </c>
      <c r="K25" s="419">
        <v>3</v>
      </c>
      <c r="L25" s="419">
        <v>0</v>
      </c>
      <c r="M25" s="419">
        <v>0</v>
      </c>
      <c r="N25" s="419">
        <v>0</v>
      </c>
      <c r="O25" s="419">
        <v>0</v>
      </c>
      <c r="P25" s="419">
        <v>0</v>
      </c>
      <c r="Q25" s="419">
        <v>0</v>
      </c>
      <c r="R25" s="418">
        <f t="shared" si="6"/>
        <v>0</v>
      </c>
      <c r="S25" s="493">
        <f t="shared" si="2"/>
        <v>1</v>
      </c>
    </row>
    <row r="26" spans="1:19" ht="18.75" customHeight="1">
      <c r="A26" s="420" t="s">
        <v>44</v>
      </c>
      <c r="B26" s="447" t="s">
        <v>433</v>
      </c>
      <c r="C26" s="418">
        <f aca="true" t="shared" si="9" ref="C26:C48">D26+E26</f>
        <v>135</v>
      </c>
      <c r="D26" s="419">
        <v>31</v>
      </c>
      <c r="E26" s="419">
        <v>104</v>
      </c>
      <c r="F26" s="419">
        <v>2</v>
      </c>
      <c r="G26" s="483">
        <v>0</v>
      </c>
      <c r="H26" s="418">
        <f aca="true" t="shared" si="10" ref="H26:H60">I26+Q26</f>
        <v>133</v>
      </c>
      <c r="I26" s="418">
        <f t="shared" si="8"/>
        <v>112</v>
      </c>
      <c r="J26" s="419">
        <v>91</v>
      </c>
      <c r="K26" s="419">
        <v>4</v>
      </c>
      <c r="L26" s="419">
        <v>13</v>
      </c>
      <c r="M26" s="419">
        <v>3</v>
      </c>
      <c r="N26" s="419">
        <v>0</v>
      </c>
      <c r="O26" s="419"/>
      <c r="P26" s="419">
        <v>1</v>
      </c>
      <c r="Q26" s="419">
        <v>21</v>
      </c>
      <c r="R26" s="418">
        <f t="shared" si="6"/>
        <v>38</v>
      </c>
      <c r="S26" s="493">
        <f t="shared" si="2"/>
        <v>0.8482142857142857</v>
      </c>
    </row>
    <row r="27" spans="1:19" ht="18.75" customHeight="1">
      <c r="A27" s="420" t="s">
        <v>45</v>
      </c>
      <c r="B27" s="446" t="s">
        <v>434</v>
      </c>
      <c r="C27" s="418">
        <f t="shared" si="9"/>
        <v>192</v>
      </c>
      <c r="D27" s="419">
        <v>55</v>
      </c>
      <c r="E27" s="419">
        <v>137</v>
      </c>
      <c r="F27" s="419">
        <v>3</v>
      </c>
      <c r="G27" s="483">
        <v>0</v>
      </c>
      <c r="H27" s="418">
        <f t="shared" si="10"/>
        <v>189</v>
      </c>
      <c r="I27" s="418">
        <f t="shared" si="8"/>
        <v>153</v>
      </c>
      <c r="J27" s="419">
        <v>130</v>
      </c>
      <c r="K27" s="419">
        <v>11</v>
      </c>
      <c r="L27" s="419">
        <v>10</v>
      </c>
      <c r="M27" s="419">
        <v>2</v>
      </c>
      <c r="N27" s="419"/>
      <c r="O27" s="419"/>
      <c r="P27" s="419">
        <v>0</v>
      </c>
      <c r="Q27" s="419">
        <v>36</v>
      </c>
      <c r="R27" s="418">
        <f>(C27-F27-J27-K27)+G27</f>
        <v>48</v>
      </c>
      <c r="S27" s="493">
        <f t="shared" si="2"/>
        <v>0.9215686274509803</v>
      </c>
    </row>
    <row r="28" spans="1:19" ht="18.75" customHeight="1">
      <c r="A28" s="420" t="s">
        <v>54</v>
      </c>
      <c r="B28" s="447" t="s">
        <v>477</v>
      </c>
      <c r="C28" s="418">
        <f t="shared" si="9"/>
        <v>183</v>
      </c>
      <c r="D28" s="419">
        <v>81</v>
      </c>
      <c r="E28" s="419">
        <v>102</v>
      </c>
      <c r="F28" s="419">
        <v>4</v>
      </c>
      <c r="G28" s="483">
        <v>0</v>
      </c>
      <c r="H28" s="418">
        <f t="shared" si="10"/>
        <v>179</v>
      </c>
      <c r="I28" s="418">
        <f t="shared" si="8"/>
        <v>124</v>
      </c>
      <c r="J28" s="419">
        <v>70</v>
      </c>
      <c r="K28" s="419">
        <v>4</v>
      </c>
      <c r="L28" s="419">
        <v>36</v>
      </c>
      <c r="M28" s="419">
        <v>10</v>
      </c>
      <c r="N28" s="419"/>
      <c r="O28" s="419"/>
      <c r="P28" s="419">
        <v>4</v>
      </c>
      <c r="Q28" s="419">
        <v>55</v>
      </c>
      <c r="R28" s="418">
        <f t="shared" si="6"/>
        <v>105</v>
      </c>
      <c r="S28" s="493">
        <f t="shared" si="2"/>
        <v>0.5967741935483871</v>
      </c>
    </row>
    <row r="29" spans="1:19" ht="18.75" customHeight="1">
      <c r="A29" s="420" t="s">
        <v>55</v>
      </c>
      <c r="B29" s="447" t="s">
        <v>476</v>
      </c>
      <c r="C29" s="418">
        <f t="shared" si="9"/>
        <v>204</v>
      </c>
      <c r="D29" s="419">
        <v>79</v>
      </c>
      <c r="E29" s="419">
        <v>125</v>
      </c>
      <c r="F29" s="419">
        <v>3</v>
      </c>
      <c r="G29" s="483">
        <v>0</v>
      </c>
      <c r="H29" s="418">
        <f t="shared" si="10"/>
        <v>201</v>
      </c>
      <c r="I29" s="418">
        <f t="shared" si="8"/>
        <v>155</v>
      </c>
      <c r="J29" s="419">
        <v>85</v>
      </c>
      <c r="K29" s="419">
        <v>17</v>
      </c>
      <c r="L29" s="419">
        <v>41</v>
      </c>
      <c r="M29" s="419">
        <v>12</v>
      </c>
      <c r="N29" s="419"/>
      <c r="O29" s="419"/>
      <c r="P29" s="419">
        <v>0</v>
      </c>
      <c r="Q29" s="419">
        <v>46</v>
      </c>
      <c r="R29" s="418">
        <f t="shared" si="6"/>
        <v>99</v>
      </c>
      <c r="S29" s="493">
        <f t="shared" si="2"/>
        <v>0.6580645161290323</v>
      </c>
    </row>
    <row r="30" spans="1:19" ht="18.75" customHeight="1">
      <c r="A30" s="420" t="s">
        <v>56</v>
      </c>
      <c r="B30" s="446" t="s">
        <v>474</v>
      </c>
      <c r="C30" s="418">
        <f t="shared" si="9"/>
        <v>199</v>
      </c>
      <c r="D30" s="419">
        <v>36</v>
      </c>
      <c r="E30" s="419">
        <v>163</v>
      </c>
      <c r="F30" s="419">
        <v>2</v>
      </c>
      <c r="G30" s="483">
        <v>0</v>
      </c>
      <c r="H30" s="418">
        <f t="shared" si="10"/>
        <v>197</v>
      </c>
      <c r="I30" s="418">
        <f t="shared" si="8"/>
        <v>166</v>
      </c>
      <c r="J30" s="419">
        <v>147</v>
      </c>
      <c r="K30" s="419">
        <v>9</v>
      </c>
      <c r="L30" s="419">
        <v>10</v>
      </c>
      <c r="M30" s="419">
        <v>0</v>
      </c>
      <c r="N30" s="419">
        <v>0</v>
      </c>
      <c r="O30" s="419">
        <v>0</v>
      </c>
      <c r="P30" s="419"/>
      <c r="Q30" s="419">
        <v>31</v>
      </c>
      <c r="R30" s="418">
        <f t="shared" si="6"/>
        <v>41</v>
      </c>
      <c r="S30" s="493">
        <f t="shared" si="2"/>
        <v>0.9397590361445783</v>
      </c>
    </row>
    <row r="31" spans="1:19" ht="18.75" customHeight="1">
      <c r="A31" s="420" t="s">
        <v>57</v>
      </c>
      <c r="B31" s="446" t="s">
        <v>437</v>
      </c>
      <c r="C31" s="418">
        <f t="shared" si="9"/>
        <v>273</v>
      </c>
      <c r="D31" s="419">
        <v>47</v>
      </c>
      <c r="E31" s="419">
        <v>226</v>
      </c>
      <c r="F31" s="419">
        <v>6</v>
      </c>
      <c r="G31" s="483">
        <v>0</v>
      </c>
      <c r="H31" s="418">
        <f t="shared" si="10"/>
        <v>267</v>
      </c>
      <c r="I31" s="418">
        <f t="shared" si="8"/>
        <v>218</v>
      </c>
      <c r="J31" s="419">
        <v>193</v>
      </c>
      <c r="K31" s="419">
        <v>4</v>
      </c>
      <c r="L31" s="419">
        <v>21</v>
      </c>
      <c r="M31" s="419">
        <v>0</v>
      </c>
      <c r="N31" s="419">
        <v>0</v>
      </c>
      <c r="O31" s="419">
        <v>0</v>
      </c>
      <c r="P31" s="419"/>
      <c r="Q31" s="419">
        <v>49</v>
      </c>
      <c r="R31" s="418">
        <f>(C31-F31-J31-K31)+G31</f>
        <v>70</v>
      </c>
      <c r="S31" s="493">
        <f t="shared" si="2"/>
        <v>0.9036697247706422</v>
      </c>
    </row>
    <row r="32" spans="1:26" ht="18.75" customHeight="1">
      <c r="A32" s="397" t="s">
        <v>44</v>
      </c>
      <c r="B32" s="494" t="s">
        <v>438</v>
      </c>
      <c r="C32" s="496">
        <f>D32+E32</f>
        <v>1034</v>
      </c>
      <c r="D32" s="496">
        <f>SUM(D33:D38)</f>
        <v>215</v>
      </c>
      <c r="E32" s="496">
        <f>SUM(E33:E38)</f>
        <v>819</v>
      </c>
      <c r="F32" s="496">
        <f>SUM(F33:F38)</f>
        <v>9</v>
      </c>
      <c r="G32" s="496">
        <f>SUM(G33:G38)</f>
        <v>0</v>
      </c>
      <c r="H32" s="496">
        <f>I32+Q32</f>
        <v>1025</v>
      </c>
      <c r="I32" s="496">
        <f>SUM(J32:P32)</f>
        <v>816</v>
      </c>
      <c r="J32" s="496">
        <f>SUM(J33:J38)</f>
        <v>741</v>
      </c>
      <c r="K32" s="496">
        <f aca="true" t="shared" si="11" ref="K32:R32">SUM(K33:K38)</f>
        <v>17</v>
      </c>
      <c r="L32" s="496">
        <f t="shared" si="11"/>
        <v>56</v>
      </c>
      <c r="M32" s="496">
        <f>SUM(M33:M38)</f>
        <v>0</v>
      </c>
      <c r="N32" s="496">
        <f t="shared" si="11"/>
        <v>0</v>
      </c>
      <c r="O32" s="496">
        <f t="shared" si="11"/>
        <v>0</v>
      </c>
      <c r="P32" s="496">
        <f t="shared" si="11"/>
        <v>2</v>
      </c>
      <c r="Q32" s="496">
        <f t="shared" si="11"/>
        <v>209</v>
      </c>
      <c r="R32" s="496">
        <f t="shared" si="11"/>
        <v>267</v>
      </c>
      <c r="S32" s="497">
        <f t="shared" si="2"/>
        <v>0.928921568627451</v>
      </c>
      <c r="T32" s="552">
        <f>I32/H32</f>
        <v>0.7960975609756098</v>
      </c>
      <c r="U32" s="553">
        <f>(R32-Q32-43)/43</f>
        <v>0.3488372093023256</v>
      </c>
      <c r="V32" s="547">
        <f>(C32-877)/877</f>
        <v>0.1790193842645382</v>
      </c>
      <c r="W32" s="547">
        <f>(E32-648)/648</f>
        <v>0.2638888888888889</v>
      </c>
      <c r="X32" s="547">
        <f>(H32-866)/866</f>
        <v>0.1836027713625866</v>
      </c>
      <c r="Y32" s="547">
        <f>(I32-691)/691</f>
        <v>0.1808972503617945</v>
      </c>
      <c r="Z32" s="547">
        <f>(J32+K32-630)/630</f>
        <v>0.20317460317460317</v>
      </c>
    </row>
    <row r="33" spans="1:19" ht="18.75" customHeight="1">
      <c r="A33" s="420" t="s">
        <v>43</v>
      </c>
      <c r="B33" s="447" t="s">
        <v>439</v>
      </c>
      <c r="C33" s="418">
        <f t="shared" si="9"/>
        <v>181</v>
      </c>
      <c r="D33" s="475">
        <v>21</v>
      </c>
      <c r="E33" s="475">
        <v>160</v>
      </c>
      <c r="F33" s="475">
        <v>1</v>
      </c>
      <c r="G33" s="419">
        <v>0</v>
      </c>
      <c r="H33" s="418">
        <f t="shared" si="10"/>
        <v>180</v>
      </c>
      <c r="I33" s="418">
        <f t="shared" si="8"/>
        <v>160</v>
      </c>
      <c r="J33" s="475">
        <v>155</v>
      </c>
      <c r="K33" s="475">
        <v>2</v>
      </c>
      <c r="L33" s="475">
        <v>3</v>
      </c>
      <c r="M33" s="475">
        <v>0</v>
      </c>
      <c r="N33" s="489">
        <v>0</v>
      </c>
      <c r="O33" s="489">
        <v>0</v>
      </c>
      <c r="P33" s="489">
        <v>0</v>
      </c>
      <c r="Q33" s="490">
        <v>20</v>
      </c>
      <c r="R33" s="418">
        <f t="shared" si="6"/>
        <v>23</v>
      </c>
      <c r="S33" s="493">
        <f t="shared" si="2"/>
        <v>0.98125</v>
      </c>
    </row>
    <row r="34" spans="1:19" ht="18.75" customHeight="1">
      <c r="A34" s="420" t="s">
        <v>44</v>
      </c>
      <c r="B34" s="447" t="s">
        <v>440</v>
      </c>
      <c r="C34" s="418">
        <f t="shared" si="9"/>
        <v>159</v>
      </c>
      <c r="D34" s="475">
        <v>60</v>
      </c>
      <c r="E34" s="475">
        <v>99</v>
      </c>
      <c r="F34" s="475">
        <v>0</v>
      </c>
      <c r="G34" s="419">
        <v>0</v>
      </c>
      <c r="H34" s="418">
        <f t="shared" si="10"/>
        <v>159</v>
      </c>
      <c r="I34" s="418">
        <f t="shared" si="8"/>
        <v>109</v>
      </c>
      <c r="J34" s="475">
        <v>88</v>
      </c>
      <c r="K34" s="475">
        <v>2</v>
      </c>
      <c r="L34" s="475">
        <v>19</v>
      </c>
      <c r="M34" s="475">
        <v>0</v>
      </c>
      <c r="N34" s="489">
        <v>0</v>
      </c>
      <c r="O34" s="489">
        <v>0</v>
      </c>
      <c r="P34" s="489">
        <v>0</v>
      </c>
      <c r="Q34" s="490">
        <v>50</v>
      </c>
      <c r="R34" s="418">
        <f t="shared" si="6"/>
        <v>69</v>
      </c>
      <c r="S34" s="493">
        <f t="shared" si="2"/>
        <v>0.8256880733944955</v>
      </c>
    </row>
    <row r="35" spans="1:19" ht="18.75" customHeight="1">
      <c r="A35" s="420" t="s">
        <v>45</v>
      </c>
      <c r="B35" s="447" t="s">
        <v>441</v>
      </c>
      <c r="C35" s="418">
        <f t="shared" si="9"/>
        <v>175</v>
      </c>
      <c r="D35" s="475">
        <v>24</v>
      </c>
      <c r="E35" s="475">
        <v>151</v>
      </c>
      <c r="F35" s="475">
        <v>4</v>
      </c>
      <c r="G35" s="419">
        <v>0</v>
      </c>
      <c r="H35" s="418">
        <f t="shared" si="10"/>
        <v>171</v>
      </c>
      <c r="I35" s="418">
        <f t="shared" si="8"/>
        <v>145</v>
      </c>
      <c r="J35" s="475">
        <v>137</v>
      </c>
      <c r="K35" s="475">
        <v>3</v>
      </c>
      <c r="L35" s="475">
        <v>5</v>
      </c>
      <c r="M35" s="475">
        <v>0</v>
      </c>
      <c r="N35" s="489">
        <v>0</v>
      </c>
      <c r="O35" s="489">
        <v>0</v>
      </c>
      <c r="P35" s="489">
        <v>0</v>
      </c>
      <c r="Q35" s="490">
        <v>26</v>
      </c>
      <c r="R35" s="418">
        <f t="shared" si="6"/>
        <v>31</v>
      </c>
      <c r="S35" s="493">
        <f t="shared" si="2"/>
        <v>0.9655172413793104</v>
      </c>
    </row>
    <row r="36" spans="1:19" ht="18.75" customHeight="1">
      <c r="A36" s="420" t="s">
        <v>54</v>
      </c>
      <c r="B36" s="447" t="s">
        <v>442</v>
      </c>
      <c r="C36" s="418">
        <f t="shared" si="9"/>
        <v>186</v>
      </c>
      <c r="D36" s="475">
        <v>31</v>
      </c>
      <c r="E36" s="475">
        <v>155</v>
      </c>
      <c r="F36" s="475">
        <v>3</v>
      </c>
      <c r="G36" s="419">
        <v>0</v>
      </c>
      <c r="H36" s="418">
        <f t="shared" si="10"/>
        <v>183</v>
      </c>
      <c r="I36" s="418">
        <f t="shared" si="8"/>
        <v>157</v>
      </c>
      <c r="J36" s="475">
        <v>142</v>
      </c>
      <c r="K36" s="475">
        <v>4</v>
      </c>
      <c r="L36" s="475">
        <v>10</v>
      </c>
      <c r="M36" s="475">
        <v>0</v>
      </c>
      <c r="N36" s="489">
        <v>0</v>
      </c>
      <c r="O36" s="489">
        <v>0</v>
      </c>
      <c r="P36" s="489">
        <v>1</v>
      </c>
      <c r="Q36" s="490">
        <v>26</v>
      </c>
      <c r="R36" s="418">
        <f t="shared" si="6"/>
        <v>37</v>
      </c>
      <c r="S36" s="493">
        <f t="shared" si="2"/>
        <v>0.9299363057324841</v>
      </c>
    </row>
    <row r="37" spans="1:19" ht="18.75" customHeight="1">
      <c r="A37" s="420" t="s">
        <v>55</v>
      </c>
      <c r="B37" s="447" t="s">
        <v>466</v>
      </c>
      <c r="C37" s="418">
        <f t="shared" si="9"/>
        <v>164</v>
      </c>
      <c r="D37" s="475">
        <v>33</v>
      </c>
      <c r="E37" s="475">
        <v>131</v>
      </c>
      <c r="F37" s="475">
        <v>0</v>
      </c>
      <c r="G37" s="419">
        <v>0</v>
      </c>
      <c r="H37" s="418">
        <f t="shared" si="10"/>
        <v>164</v>
      </c>
      <c r="I37" s="418">
        <f t="shared" si="8"/>
        <v>119</v>
      </c>
      <c r="J37" s="475">
        <v>109</v>
      </c>
      <c r="K37" s="475">
        <v>3</v>
      </c>
      <c r="L37" s="475">
        <v>7</v>
      </c>
      <c r="M37" s="475">
        <v>0</v>
      </c>
      <c r="N37" s="489">
        <v>0</v>
      </c>
      <c r="O37" s="489">
        <v>0</v>
      </c>
      <c r="P37" s="489">
        <v>0</v>
      </c>
      <c r="Q37" s="490">
        <v>45</v>
      </c>
      <c r="R37" s="418">
        <f t="shared" si="6"/>
        <v>52</v>
      </c>
      <c r="S37" s="493">
        <f t="shared" si="2"/>
        <v>0.9411764705882353</v>
      </c>
    </row>
    <row r="38" spans="1:19" ht="18.75" customHeight="1">
      <c r="A38" s="420" t="s">
        <v>56</v>
      </c>
      <c r="B38" s="446" t="s">
        <v>443</v>
      </c>
      <c r="C38" s="418">
        <f t="shared" si="9"/>
        <v>169</v>
      </c>
      <c r="D38" s="524">
        <v>46</v>
      </c>
      <c r="E38" s="524">
        <v>123</v>
      </c>
      <c r="F38" s="524">
        <v>1</v>
      </c>
      <c r="G38" s="419">
        <v>0</v>
      </c>
      <c r="H38" s="418">
        <f t="shared" si="10"/>
        <v>168</v>
      </c>
      <c r="I38" s="418">
        <f t="shared" si="8"/>
        <v>126</v>
      </c>
      <c r="J38" s="524">
        <v>110</v>
      </c>
      <c r="K38" s="524">
        <v>3</v>
      </c>
      <c r="L38" s="524">
        <v>12</v>
      </c>
      <c r="M38" s="524">
        <v>0</v>
      </c>
      <c r="N38" s="525">
        <v>0</v>
      </c>
      <c r="O38" s="525">
        <v>0</v>
      </c>
      <c r="P38" s="525">
        <v>1</v>
      </c>
      <c r="Q38" s="526">
        <v>42</v>
      </c>
      <c r="R38" s="418">
        <f t="shared" si="6"/>
        <v>55</v>
      </c>
      <c r="S38" s="493">
        <f t="shared" si="2"/>
        <v>0.8968253968253969</v>
      </c>
    </row>
    <row r="39" spans="1:26" ht="18.75" customHeight="1">
      <c r="A39" s="397" t="s">
        <v>45</v>
      </c>
      <c r="B39" s="494" t="s">
        <v>463</v>
      </c>
      <c r="C39" s="496">
        <f>D39+E39</f>
        <v>1247</v>
      </c>
      <c r="D39" s="496">
        <f>SUM(D40:D46)</f>
        <v>475</v>
      </c>
      <c r="E39" s="496">
        <f>SUM(E40:E46)</f>
        <v>772</v>
      </c>
      <c r="F39" s="496">
        <f>SUM(F40:F46)</f>
        <v>6</v>
      </c>
      <c r="G39" s="496">
        <f>SUM(G40:G46)</f>
        <v>0</v>
      </c>
      <c r="H39" s="496">
        <f>I39+Q39</f>
        <v>1241</v>
      </c>
      <c r="I39" s="496">
        <f>SUM(J39:P39)</f>
        <v>890</v>
      </c>
      <c r="J39" s="502">
        <f>SUM(J40:J46)</f>
        <v>775</v>
      </c>
      <c r="K39" s="502">
        <f aca="true" t="shared" si="12" ref="K39:R39">SUM(K40:K46)</f>
        <v>12</v>
      </c>
      <c r="L39" s="502">
        <f t="shared" si="12"/>
        <v>85</v>
      </c>
      <c r="M39" s="502">
        <f t="shared" si="12"/>
        <v>7</v>
      </c>
      <c r="N39" s="502">
        <f t="shared" si="12"/>
        <v>0</v>
      </c>
      <c r="O39" s="502">
        <f t="shared" si="12"/>
        <v>0</v>
      </c>
      <c r="P39" s="502">
        <f t="shared" si="12"/>
        <v>11</v>
      </c>
      <c r="Q39" s="502">
        <f t="shared" si="12"/>
        <v>351</v>
      </c>
      <c r="R39" s="496">
        <f t="shared" si="12"/>
        <v>454</v>
      </c>
      <c r="S39" s="497">
        <f t="shared" si="2"/>
        <v>0.8842696629213483</v>
      </c>
      <c r="T39" s="554">
        <f>I39/H39</f>
        <v>0.717163577759871</v>
      </c>
      <c r="U39" s="555">
        <f>(R39-Q39-119)/119</f>
        <v>-0.13445378151260504</v>
      </c>
      <c r="V39" s="547">
        <f>(C39-1242)/1242</f>
        <v>0.004025764895330112</v>
      </c>
      <c r="W39" s="547">
        <f>(E39-847)/847</f>
        <v>-0.0885478158205431</v>
      </c>
      <c r="X39" s="547">
        <f>(H39-1238)/1238</f>
        <v>0.0024232633279483036</v>
      </c>
      <c r="Y39" s="547">
        <f>(I39-881)/881</f>
        <v>0.01021566401816118</v>
      </c>
      <c r="Z39" s="547">
        <f>(J39+K39-760)/760</f>
        <v>0.035526315789473684</v>
      </c>
    </row>
    <row r="40" spans="1:19" ht="18.75" customHeight="1">
      <c r="A40" s="420" t="s">
        <v>43</v>
      </c>
      <c r="B40" s="461" t="s">
        <v>444</v>
      </c>
      <c r="C40" s="418">
        <f t="shared" si="9"/>
        <v>54</v>
      </c>
      <c r="D40" s="419">
        <v>19</v>
      </c>
      <c r="E40" s="419">
        <v>35</v>
      </c>
      <c r="F40" s="419">
        <v>0</v>
      </c>
      <c r="G40" s="419">
        <v>0</v>
      </c>
      <c r="H40" s="418">
        <f t="shared" si="10"/>
        <v>54</v>
      </c>
      <c r="I40" s="418">
        <f t="shared" si="8"/>
        <v>38</v>
      </c>
      <c r="J40" s="419">
        <v>37</v>
      </c>
      <c r="K40" s="419">
        <v>1</v>
      </c>
      <c r="L40" s="419">
        <v>0</v>
      </c>
      <c r="M40" s="419">
        <v>0</v>
      </c>
      <c r="N40" s="419">
        <v>0</v>
      </c>
      <c r="O40" s="419">
        <v>0</v>
      </c>
      <c r="P40" s="419">
        <v>0</v>
      </c>
      <c r="Q40" s="419">
        <v>16</v>
      </c>
      <c r="R40" s="418">
        <f t="shared" si="6"/>
        <v>16</v>
      </c>
      <c r="S40" s="493">
        <f t="shared" si="2"/>
        <v>1</v>
      </c>
    </row>
    <row r="41" spans="1:19" ht="18.75" customHeight="1">
      <c r="A41" s="420" t="s">
        <v>44</v>
      </c>
      <c r="B41" s="461" t="s">
        <v>445</v>
      </c>
      <c r="C41" s="418">
        <f t="shared" si="9"/>
        <v>200</v>
      </c>
      <c r="D41" s="419">
        <v>69</v>
      </c>
      <c r="E41" s="419">
        <v>131</v>
      </c>
      <c r="F41" s="419">
        <v>0</v>
      </c>
      <c r="G41" s="419">
        <v>0</v>
      </c>
      <c r="H41" s="418">
        <f t="shared" si="10"/>
        <v>200</v>
      </c>
      <c r="I41" s="418">
        <f t="shared" si="8"/>
        <v>158</v>
      </c>
      <c r="J41" s="419">
        <v>142</v>
      </c>
      <c r="K41" s="419">
        <v>3</v>
      </c>
      <c r="L41" s="419">
        <v>9</v>
      </c>
      <c r="M41" s="419">
        <v>0</v>
      </c>
      <c r="N41" s="419">
        <v>0</v>
      </c>
      <c r="O41" s="419">
        <v>0</v>
      </c>
      <c r="P41" s="419">
        <v>4</v>
      </c>
      <c r="Q41" s="419">
        <v>42</v>
      </c>
      <c r="R41" s="418">
        <f t="shared" si="6"/>
        <v>55</v>
      </c>
      <c r="S41" s="493">
        <f t="shared" si="2"/>
        <v>0.9177215189873418</v>
      </c>
    </row>
    <row r="42" spans="1:19" ht="18.75" customHeight="1">
      <c r="A42" s="420" t="s">
        <v>45</v>
      </c>
      <c r="B42" s="461" t="s">
        <v>446</v>
      </c>
      <c r="C42" s="418">
        <f t="shared" si="9"/>
        <v>241</v>
      </c>
      <c r="D42" s="419">
        <v>52</v>
      </c>
      <c r="E42" s="419">
        <v>189</v>
      </c>
      <c r="F42" s="419">
        <v>1</v>
      </c>
      <c r="G42" s="419">
        <v>0</v>
      </c>
      <c r="H42" s="418">
        <f t="shared" si="10"/>
        <v>240</v>
      </c>
      <c r="I42" s="418">
        <f t="shared" si="8"/>
        <v>199</v>
      </c>
      <c r="J42" s="419">
        <v>187</v>
      </c>
      <c r="K42" s="419">
        <v>0</v>
      </c>
      <c r="L42" s="419">
        <v>10</v>
      </c>
      <c r="M42" s="419">
        <v>0</v>
      </c>
      <c r="N42" s="419">
        <v>0</v>
      </c>
      <c r="O42" s="419">
        <v>0</v>
      </c>
      <c r="P42" s="419">
        <v>2</v>
      </c>
      <c r="Q42" s="419">
        <v>41</v>
      </c>
      <c r="R42" s="418">
        <f t="shared" si="6"/>
        <v>53</v>
      </c>
      <c r="S42" s="493">
        <f t="shared" si="2"/>
        <v>0.9396984924623115</v>
      </c>
    </row>
    <row r="43" spans="1:19" ht="18.75" customHeight="1">
      <c r="A43" s="420" t="s">
        <v>54</v>
      </c>
      <c r="B43" s="461" t="s">
        <v>447</v>
      </c>
      <c r="C43" s="418">
        <f t="shared" si="9"/>
        <v>154</v>
      </c>
      <c r="D43" s="419">
        <v>71</v>
      </c>
      <c r="E43" s="419">
        <v>83</v>
      </c>
      <c r="F43" s="419">
        <v>0</v>
      </c>
      <c r="G43" s="419">
        <v>0</v>
      </c>
      <c r="H43" s="418">
        <f t="shared" si="10"/>
        <v>154</v>
      </c>
      <c r="I43" s="418">
        <f t="shared" si="8"/>
        <v>100</v>
      </c>
      <c r="J43" s="419">
        <v>83</v>
      </c>
      <c r="K43" s="419">
        <v>1</v>
      </c>
      <c r="L43" s="419">
        <v>15</v>
      </c>
      <c r="M43" s="419">
        <v>0</v>
      </c>
      <c r="N43" s="419">
        <v>0</v>
      </c>
      <c r="O43" s="419">
        <v>0</v>
      </c>
      <c r="P43" s="419">
        <v>1</v>
      </c>
      <c r="Q43" s="419">
        <v>54</v>
      </c>
      <c r="R43" s="418">
        <f t="shared" si="6"/>
        <v>70</v>
      </c>
      <c r="S43" s="493">
        <f t="shared" si="2"/>
        <v>0.84</v>
      </c>
    </row>
    <row r="44" spans="1:19" ht="18.75" customHeight="1">
      <c r="A44" s="420" t="s">
        <v>55</v>
      </c>
      <c r="B44" s="461" t="s">
        <v>448</v>
      </c>
      <c r="C44" s="418">
        <f t="shared" si="9"/>
        <v>268</v>
      </c>
      <c r="D44" s="419">
        <v>102</v>
      </c>
      <c r="E44" s="419">
        <v>166</v>
      </c>
      <c r="F44" s="419">
        <v>2</v>
      </c>
      <c r="G44" s="419"/>
      <c r="H44" s="418">
        <f t="shared" si="10"/>
        <v>266</v>
      </c>
      <c r="I44" s="418">
        <f t="shared" si="8"/>
        <v>207</v>
      </c>
      <c r="J44" s="419">
        <v>171</v>
      </c>
      <c r="K44" s="419">
        <v>5</v>
      </c>
      <c r="L44" s="419">
        <v>27</v>
      </c>
      <c r="M44" s="419">
        <v>3</v>
      </c>
      <c r="N44" s="419">
        <v>0</v>
      </c>
      <c r="O44" s="419">
        <v>0</v>
      </c>
      <c r="P44" s="419">
        <v>1</v>
      </c>
      <c r="Q44" s="419">
        <v>59</v>
      </c>
      <c r="R44" s="418">
        <f t="shared" si="6"/>
        <v>90</v>
      </c>
      <c r="S44" s="493">
        <f t="shared" si="2"/>
        <v>0.8502415458937198</v>
      </c>
    </row>
    <row r="45" spans="1:19" ht="18.75" customHeight="1">
      <c r="A45" s="420" t="s">
        <v>56</v>
      </c>
      <c r="B45" s="461" t="s">
        <v>478</v>
      </c>
      <c r="C45" s="418">
        <f t="shared" si="9"/>
        <v>187</v>
      </c>
      <c r="D45" s="419">
        <v>85</v>
      </c>
      <c r="E45" s="419">
        <v>102</v>
      </c>
      <c r="F45" s="419">
        <v>1</v>
      </c>
      <c r="G45" s="419">
        <v>0</v>
      </c>
      <c r="H45" s="418">
        <f t="shared" si="10"/>
        <v>186</v>
      </c>
      <c r="I45" s="418">
        <f t="shared" si="8"/>
        <v>109</v>
      </c>
      <c r="J45" s="419">
        <v>92</v>
      </c>
      <c r="K45" s="419">
        <v>1</v>
      </c>
      <c r="L45" s="419">
        <v>11</v>
      </c>
      <c r="M45" s="419">
        <v>4</v>
      </c>
      <c r="N45" s="419">
        <v>0</v>
      </c>
      <c r="O45" s="419">
        <v>0</v>
      </c>
      <c r="P45" s="419">
        <v>1</v>
      </c>
      <c r="Q45" s="419">
        <v>77</v>
      </c>
      <c r="R45" s="418">
        <f t="shared" si="6"/>
        <v>93</v>
      </c>
      <c r="S45" s="493">
        <f t="shared" si="2"/>
        <v>0.8532110091743119</v>
      </c>
    </row>
    <row r="46" spans="1:19" ht="18.75" customHeight="1">
      <c r="A46" s="420" t="s">
        <v>57</v>
      </c>
      <c r="B46" s="461" t="s">
        <v>435</v>
      </c>
      <c r="C46" s="418">
        <f t="shared" si="9"/>
        <v>143</v>
      </c>
      <c r="D46" s="419">
        <v>77</v>
      </c>
      <c r="E46" s="419">
        <v>66</v>
      </c>
      <c r="F46" s="419">
        <v>2</v>
      </c>
      <c r="G46" s="419">
        <v>0</v>
      </c>
      <c r="H46" s="418">
        <f t="shared" si="10"/>
        <v>141</v>
      </c>
      <c r="I46" s="418">
        <f t="shared" si="8"/>
        <v>79</v>
      </c>
      <c r="J46" s="419">
        <v>63</v>
      </c>
      <c r="K46" s="419">
        <v>1</v>
      </c>
      <c r="L46" s="419">
        <v>13</v>
      </c>
      <c r="M46" s="419">
        <v>0</v>
      </c>
      <c r="N46" s="419">
        <v>0</v>
      </c>
      <c r="O46" s="419">
        <v>0</v>
      </c>
      <c r="P46" s="419">
        <v>2</v>
      </c>
      <c r="Q46" s="419">
        <v>62</v>
      </c>
      <c r="R46" s="418">
        <f t="shared" si="6"/>
        <v>77</v>
      </c>
      <c r="S46" s="493">
        <f t="shared" si="2"/>
        <v>0.810126582278481</v>
      </c>
    </row>
    <row r="47" spans="1:26" ht="18.75" customHeight="1">
      <c r="A47" s="397" t="s">
        <v>54</v>
      </c>
      <c r="B47" s="494" t="s">
        <v>450</v>
      </c>
      <c r="C47" s="500">
        <f>D47+E47</f>
        <v>757</v>
      </c>
      <c r="D47" s="501">
        <f>D48+D49+D50</f>
        <v>93</v>
      </c>
      <c r="E47" s="501">
        <f aca="true" t="shared" si="13" ref="E47:R47">E48+E49+E50</f>
        <v>664</v>
      </c>
      <c r="F47" s="501">
        <f t="shared" si="13"/>
        <v>0</v>
      </c>
      <c r="G47" s="501">
        <f t="shared" si="13"/>
        <v>0</v>
      </c>
      <c r="H47" s="501">
        <f t="shared" si="13"/>
        <v>757</v>
      </c>
      <c r="I47" s="501">
        <f t="shared" si="13"/>
        <v>660</v>
      </c>
      <c r="J47" s="501">
        <f t="shared" si="13"/>
        <v>609</v>
      </c>
      <c r="K47" s="501">
        <f t="shared" si="13"/>
        <v>6</v>
      </c>
      <c r="L47" s="501">
        <f t="shared" si="13"/>
        <v>41</v>
      </c>
      <c r="M47" s="501">
        <f t="shared" si="13"/>
        <v>4</v>
      </c>
      <c r="N47" s="501">
        <f t="shared" si="13"/>
        <v>0</v>
      </c>
      <c r="O47" s="501">
        <f t="shared" si="13"/>
        <v>0</v>
      </c>
      <c r="P47" s="501">
        <f t="shared" si="13"/>
        <v>0</v>
      </c>
      <c r="Q47" s="501">
        <f t="shared" si="13"/>
        <v>97</v>
      </c>
      <c r="R47" s="501">
        <f t="shared" si="13"/>
        <v>142</v>
      </c>
      <c r="S47" s="497">
        <f t="shared" si="2"/>
        <v>0.9318181818181818</v>
      </c>
      <c r="T47" s="556">
        <f>I47/H47</f>
        <v>0.8718626155878467</v>
      </c>
      <c r="U47" s="557">
        <f>(R47-Q47-12)/12</f>
        <v>2.75</v>
      </c>
      <c r="V47" s="547">
        <f>(C47-662)/662</f>
        <v>0.14350453172205438</v>
      </c>
      <c r="W47" s="547">
        <f>(E47-576)/576</f>
        <v>0.1527777777777778</v>
      </c>
      <c r="X47" s="547">
        <f>(H47-661)/661</f>
        <v>0.14523449319213314</v>
      </c>
      <c r="Y47" s="547">
        <f>(I47-579)/579</f>
        <v>0.13989637305699482</v>
      </c>
      <c r="Z47" s="547">
        <f>(J47+K47-558)/558</f>
        <v>0.10215053763440861</v>
      </c>
    </row>
    <row r="48" spans="1:19" ht="18.75" customHeight="1">
      <c r="A48" s="420" t="s">
        <v>43</v>
      </c>
      <c r="B48" s="447" t="s">
        <v>458</v>
      </c>
      <c r="C48" s="418">
        <f t="shared" si="9"/>
        <v>218</v>
      </c>
      <c r="D48" s="473">
        <v>15</v>
      </c>
      <c r="E48" s="473">
        <v>203</v>
      </c>
      <c r="F48" s="462"/>
      <c r="G48" s="463"/>
      <c r="H48" s="418">
        <f>I48+Q48</f>
        <v>218</v>
      </c>
      <c r="I48" s="418">
        <f t="shared" si="8"/>
        <v>202</v>
      </c>
      <c r="J48" s="473">
        <v>199</v>
      </c>
      <c r="K48" s="473">
        <v>0</v>
      </c>
      <c r="L48" s="473">
        <v>2</v>
      </c>
      <c r="M48" s="473">
        <v>1</v>
      </c>
      <c r="N48" s="473"/>
      <c r="O48" s="473"/>
      <c r="P48" s="474"/>
      <c r="Q48" s="546">
        <v>16</v>
      </c>
      <c r="R48" s="418">
        <f t="shared" si="6"/>
        <v>19</v>
      </c>
      <c r="S48" s="493">
        <f t="shared" si="2"/>
        <v>0.9851485148514851</v>
      </c>
    </row>
    <row r="49" spans="1:19" ht="18.75" customHeight="1">
      <c r="A49" s="420" t="s">
        <v>44</v>
      </c>
      <c r="B49" s="447" t="s">
        <v>452</v>
      </c>
      <c r="C49" s="418">
        <f aca="true" t="shared" si="14" ref="C49:C57">D49+E49</f>
        <v>242</v>
      </c>
      <c r="D49" s="473">
        <v>36</v>
      </c>
      <c r="E49" s="473">
        <v>206</v>
      </c>
      <c r="F49" s="462"/>
      <c r="G49" s="463"/>
      <c r="H49" s="418">
        <f t="shared" si="10"/>
        <v>242</v>
      </c>
      <c r="I49" s="418">
        <f t="shared" si="8"/>
        <v>210</v>
      </c>
      <c r="J49" s="473">
        <v>183</v>
      </c>
      <c r="K49" s="473">
        <v>3</v>
      </c>
      <c r="L49" s="473">
        <v>21</v>
      </c>
      <c r="M49" s="473">
        <v>3</v>
      </c>
      <c r="N49" s="473"/>
      <c r="O49" s="473"/>
      <c r="P49" s="474"/>
      <c r="Q49" s="546">
        <v>32</v>
      </c>
      <c r="R49" s="418">
        <f>(C49-F49-J49-K49)+G49</f>
        <v>56</v>
      </c>
      <c r="S49" s="493">
        <f t="shared" si="2"/>
        <v>0.8857142857142857</v>
      </c>
    </row>
    <row r="50" spans="1:19" ht="18.75" customHeight="1">
      <c r="A50" s="464" t="s">
        <v>45</v>
      </c>
      <c r="B50" s="465" t="s">
        <v>456</v>
      </c>
      <c r="C50" s="418">
        <f t="shared" si="14"/>
        <v>297</v>
      </c>
      <c r="D50" s="473">
        <v>42</v>
      </c>
      <c r="E50" s="473">
        <v>255</v>
      </c>
      <c r="F50" s="462"/>
      <c r="G50" s="463"/>
      <c r="H50" s="418">
        <f t="shared" si="10"/>
        <v>297</v>
      </c>
      <c r="I50" s="418">
        <f t="shared" si="8"/>
        <v>248</v>
      </c>
      <c r="J50" s="473">
        <v>227</v>
      </c>
      <c r="K50" s="473">
        <v>3</v>
      </c>
      <c r="L50" s="473">
        <v>18</v>
      </c>
      <c r="M50" s="473"/>
      <c r="N50" s="473"/>
      <c r="O50" s="473"/>
      <c r="P50" s="474"/>
      <c r="Q50" s="546">
        <v>49</v>
      </c>
      <c r="R50" s="418">
        <f>(C50-F50-J50-K50)+G50</f>
        <v>67</v>
      </c>
      <c r="S50" s="493">
        <f t="shared" si="2"/>
        <v>0.9274193548387096</v>
      </c>
    </row>
    <row r="51" spans="1:26" ht="18.75" customHeight="1">
      <c r="A51" s="397" t="s">
        <v>55</v>
      </c>
      <c r="B51" s="498" t="s">
        <v>453</v>
      </c>
      <c r="C51" s="495">
        <f t="shared" si="14"/>
        <v>747</v>
      </c>
      <c r="D51" s="495">
        <f>SUM(D52:D54)</f>
        <v>150</v>
      </c>
      <c r="E51" s="495">
        <f>SUM(E52:E54)</f>
        <v>597</v>
      </c>
      <c r="F51" s="495">
        <f>SUM(F52:F54)</f>
        <v>5</v>
      </c>
      <c r="G51" s="495">
        <f>SUM(G52:G54)</f>
        <v>0</v>
      </c>
      <c r="H51" s="495">
        <f>I51+Q51</f>
        <v>742</v>
      </c>
      <c r="I51" s="495">
        <f>SUM(J51:P51)</f>
        <v>604</v>
      </c>
      <c r="J51" s="495">
        <f aca="true" t="shared" si="15" ref="J51:R51">SUM(J52:J54)</f>
        <v>517</v>
      </c>
      <c r="K51" s="495">
        <f t="shared" si="15"/>
        <v>5</v>
      </c>
      <c r="L51" s="495">
        <f t="shared" si="15"/>
        <v>82</v>
      </c>
      <c r="M51" s="495">
        <f t="shared" si="15"/>
        <v>0</v>
      </c>
      <c r="N51" s="495">
        <f t="shared" si="15"/>
        <v>0</v>
      </c>
      <c r="O51" s="495">
        <f t="shared" si="15"/>
        <v>0</v>
      </c>
      <c r="P51" s="495">
        <f t="shared" si="15"/>
        <v>0</v>
      </c>
      <c r="Q51" s="499">
        <f t="shared" si="15"/>
        <v>138</v>
      </c>
      <c r="R51" s="495">
        <f t="shared" si="15"/>
        <v>220</v>
      </c>
      <c r="S51" s="497">
        <f t="shared" si="2"/>
        <v>0.8642384105960265</v>
      </c>
      <c r="T51" s="558">
        <f>I51/H51</f>
        <v>0.8140161725067385</v>
      </c>
      <c r="U51" s="559">
        <f>(R51-Q51-44)/44</f>
        <v>0.8636363636363636</v>
      </c>
      <c r="V51" s="547">
        <f>(C51-676)/676</f>
        <v>0.10502958579881656</v>
      </c>
      <c r="W51" s="547">
        <f>(E51-556)/556</f>
        <v>0.0737410071942446</v>
      </c>
      <c r="X51" s="547">
        <f>(H51-673)/673</f>
        <v>0.1025260029717682</v>
      </c>
      <c r="Y51" s="547">
        <f>(I51-565)/565</f>
        <v>0.06902654867256637</v>
      </c>
      <c r="Z51" s="547">
        <f>(J51+K51-472)/472</f>
        <v>0.1059322033898305</v>
      </c>
    </row>
    <row r="52" spans="1:19" ht="18.75" customHeight="1">
      <c r="A52" s="420" t="s">
        <v>43</v>
      </c>
      <c r="B52" s="466" t="s">
        <v>454</v>
      </c>
      <c r="C52" s="418">
        <f t="shared" si="14"/>
        <v>148</v>
      </c>
      <c r="D52" s="476">
        <v>28</v>
      </c>
      <c r="E52" s="476">
        <v>120</v>
      </c>
      <c r="F52" s="476">
        <v>2</v>
      </c>
      <c r="G52" s="478"/>
      <c r="H52" s="418">
        <f t="shared" si="10"/>
        <v>146</v>
      </c>
      <c r="I52" s="418">
        <f t="shared" si="8"/>
        <v>119</v>
      </c>
      <c r="J52" s="476">
        <v>112</v>
      </c>
      <c r="K52" s="476"/>
      <c r="L52" s="476">
        <v>7</v>
      </c>
      <c r="M52" s="476"/>
      <c r="N52" s="535"/>
      <c r="O52" s="535"/>
      <c r="P52" s="535"/>
      <c r="Q52" s="536">
        <v>27</v>
      </c>
      <c r="R52" s="418">
        <f>C52-F52-J52-K52-G52</f>
        <v>34</v>
      </c>
      <c r="S52" s="493">
        <f t="shared" si="2"/>
        <v>0.9411764705882353</v>
      </c>
    </row>
    <row r="53" spans="1:19" ht="18.75" customHeight="1">
      <c r="A53" s="420" t="s">
        <v>44</v>
      </c>
      <c r="B53" s="466" t="s">
        <v>455</v>
      </c>
      <c r="C53" s="418">
        <f t="shared" si="14"/>
        <v>260</v>
      </c>
      <c r="D53" s="476">
        <v>54</v>
      </c>
      <c r="E53" s="476">
        <v>206</v>
      </c>
      <c r="F53" s="476"/>
      <c r="G53" s="478"/>
      <c r="H53" s="418">
        <f t="shared" si="10"/>
        <v>260</v>
      </c>
      <c r="I53" s="418">
        <f t="shared" si="8"/>
        <v>212</v>
      </c>
      <c r="J53" s="476">
        <v>177</v>
      </c>
      <c r="K53" s="476">
        <v>1</v>
      </c>
      <c r="L53" s="476">
        <v>34</v>
      </c>
      <c r="M53" s="476"/>
      <c r="N53" s="535"/>
      <c r="O53" s="535"/>
      <c r="P53" s="535"/>
      <c r="Q53" s="536">
        <v>48</v>
      </c>
      <c r="R53" s="418">
        <f aca="true" t="shared" si="16" ref="R53:R60">(C53-F53-J53-K53)+G53</f>
        <v>82</v>
      </c>
      <c r="S53" s="493">
        <f t="shared" si="2"/>
        <v>0.839622641509434</v>
      </c>
    </row>
    <row r="54" spans="1:19" ht="18.75" customHeight="1">
      <c r="A54" s="420" t="s">
        <v>45</v>
      </c>
      <c r="B54" s="466" t="s">
        <v>449</v>
      </c>
      <c r="C54" s="418">
        <f t="shared" si="14"/>
        <v>339</v>
      </c>
      <c r="D54" s="476">
        <v>68</v>
      </c>
      <c r="E54" s="476">
        <v>271</v>
      </c>
      <c r="F54" s="476">
        <v>3</v>
      </c>
      <c r="G54" s="478"/>
      <c r="H54" s="418">
        <f t="shared" si="10"/>
        <v>336</v>
      </c>
      <c r="I54" s="418">
        <f t="shared" si="8"/>
        <v>273</v>
      </c>
      <c r="J54" s="476">
        <v>228</v>
      </c>
      <c r="K54" s="476">
        <v>4</v>
      </c>
      <c r="L54" s="476">
        <v>41</v>
      </c>
      <c r="M54" s="476"/>
      <c r="N54" s="535"/>
      <c r="O54" s="535"/>
      <c r="P54" s="535"/>
      <c r="Q54" s="536">
        <v>63</v>
      </c>
      <c r="R54" s="418">
        <f t="shared" si="16"/>
        <v>104</v>
      </c>
      <c r="S54" s="493">
        <f t="shared" si="2"/>
        <v>0.8498168498168498</v>
      </c>
    </row>
    <row r="55" spans="1:26" ht="18.75" customHeight="1">
      <c r="A55" s="397" t="s">
        <v>56</v>
      </c>
      <c r="B55" s="494" t="s">
        <v>457</v>
      </c>
      <c r="C55" s="495">
        <f t="shared" si="14"/>
        <v>187</v>
      </c>
      <c r="D55" s="495">
        <f>SUM(D56:D57)</f>
        <v>56</v>
      </c>
      <c r="E55" s="495">
        <f>SUM(E56:E57)</f>
        <v>131</v>
      </c>
      <c r="F55" s="495">
        <f>SUM(F56:F57)</f>
        <v>4</v>
      </c>
      <c r="G55" s="495">
        <f>SUM(G56:G57)</f>
        <v>0</v>
      </c>
      <c r="H55" s="495">
        <f>I55+Q55</f>
        <v>183</v>
      </c>
      <c r="I55" s="495">
        <f aca="true" t="shared" si="17" ref="I55:R55">SUM(I56:I57)</f>
        <v>132</v>
      </c>
      <c r="J55" s="495">
        <f t="shared" si="17"/>
        <v>115</v>
      </c>
      <c r="K55" s="495">
        <f t="shared" si="17"/>
        <v>6</v>
      </c>
      <c r="L55" s="495">
        <f t="shared" si="17"/>
        <v>11</v>
      </c>
      <c r="M55" s="495">
        <f t="shared" si="17"/>
        <v>0</v>
      </c>
      <c r="N55" s="495">
        <f t="shared" si="17"/>
        <v>0</v>
      </c>
      <c r="O55" s="495">
        <f t="shared" si="17"/>
        <v>0</v>
      </c>
      <c r="P55" s="495">
        <f t="shared" si="17"/>
        <v>0</v>
      </c>
      <c r="Q55" s="496">
        <f t="shared" si="17"/>
        <v>51</v>
      </c>
      <c r="R55" s="495">
        <f t="shared" si="17"/>
        <v>62</v>
      </c>
      <c r="S55" s="497">
        <f t="shared" si="2"/>
        <v>0.9166666666666666</v>
      </c>
      <c r="T55" s="560">
        <f>I55/H55</f>
        <v>0.7213114754098361</v>
      </c>
      <c r="U55" s="561">
        <f>(R55-Q55-14)/14</f>
        <v>-0.21428571428571427</v>
      </c>
      <c r="V55" s="547">
        <f>(C55-177)/177</f>
        <v>0.05649717514124294</v>
      </c>
      <c r="W55" s="547">
        <f>(E55-136)/136</f>
        <v>-0.03676470588235294</v>
      </c>
      <c r="X55" s="547">
        <f>(H55-177)/177</f>
        <v>0.03389830508474576</v>
      </c>
      <c r="Y55" s="547">
        <f>(I55-138)/138</f>
        <v>-0.043478260869565216</v>
      </c>
      <c r="Z55" s="547">
        <f>(J55+K55-118)/118</f>
        <v>0.025423728813559324</v>
      </c>
    </row>
    <row r="56" spans="1:19" ht="18.75" customHeight="1">
      <c r="A56" s="420" t="s">
        <v>43</v>
      </c>
      <c r="B56" s="447" t="s">
        <v>451</v>
      </c>
      <c r="C56" s="418">
        <f t="shared" si="14"/>
        <v>98</v>
      </c>
      <c r="D56" s="475">
        <v>20</v>
      </c>
      <c r="E56" s="475">
        <v>78</v>
      </c>
      <c r="F56" s="475">
        <v>2</v>
      </c>
      <c r="G56" s="467">
        <v>0</v>
      </c>
      <c r="H56" s="418">
        <f t="shared" si="10"/>
        <v>96</v>
      </c>
      <c r="I56" s="418">
        <f t="shared" si="8"/>
        <v>79</v>
      </c>
      <c r="J56" s="475">
        <v>70</v>
      </c>
      <c r="K56" s="475">
        <v>0</v>
      </c>
      <c r="L56" s="475">
        <v>9</v>
      </c>
      <c r="M56" s="475">
        <v>0</v>
      </c>
      <c r="N56" s="489">
        <v>0</v>
      </c>
      <c r="O56" s="489">
        <v>0</v>
      </c>
      <c r="P56" s="489">
        <v>0</v>
      </c>
      <c r="Q56" s="490">
        <v>17</v>
      </c>
      <c r="R56" s="418">
        <f t="shared" si="16"/>
        <v>26</v>
      </c>
      <c r="S56" s="493">
        <f t="shared" si="2"/>
        <v>0.8860759493670886</v>
      </c>
    </row>
    <row r="57" spans="1:19" ht="18.75" customHeight="1">
      <c r="A57" s="420" t="s">
        <v>44</v>
      </c>
      <c r="B57" s="447" t="s">
        <v>459</v>
      </c>
      <c r="C57" s="418">
        <f t="shared" si="14"/>
        <v>89</v>
      </c>
      <c r="D57" s="475">
        <v>36</v>
      </c>
      <c r="E57" s="475">
        <v>53</v>
      </c>
      <c r="F57" s="475">
        <v>2</v>
      </c>
      <c r="G57" s="467">
        <v>0</v>
      </c>
      <c r="H57" s="418">
        <f t="shared" si="10"/>
        <v>87</v>
      </c>
      <c r="I57" s="418">
        <f t="shared" si="8"/>
        <v>53</v>
      </c>
      <c r="J57" s="475">
        <v>45</v>
      </c>
      <c r="K57" s="475">
        <v>6</v>
      </c>
      <c r="L57" s="475">
        <v>2</v>
      </c>
      <c r="M57" s="475">
        <v>0</v>
      </c>
      <c r="N57" s="489">
        <v>0</v>
      </c>
      <c r="O57" s="489">
        <v>0</v>
      </c>
      <c r="P57" s="489">
        <v>0</v>
      </c>
      <c r="Q57" s="490">
        <v>34</v>
      </c>
      <c r="R57" s="418">
        <f t="shared" si="16"/>
        <v>36</v>
      </c>
      <c r="S57" s="493">
        <f t="shared" si="2"/>
        <v>0.9622641509433962</v>
      </c>
    </row>
    <row r="58" spans="1:26" ht="18.75" customHeight="1">
      <c r="A58" s="397" t="s">
        <v>57</v>
      </c>
      <c r="B58" s="494" t="s">
        <v>460</v>
      </c>
      <c r="C58" s="495">
        <f>E58+D58</f>
        <v>104</v>
      </c>
      <c r="D58" s="496">
        <f>D59+D60</f>
        <v>17</v>
      </c>
      <c r="E58" s="496">
        <f>E59+E60</f>
        <v>87</v>
      </c>
      <c r="F58" s="496">
        <f>F59+F60</f>
        <v>1</v>
      </c>
      <c r="G58" s="496">
        <f>G59+G60</f>
        <v>0</v>
      </c>
      <c r="H58" s="496">
        <f>I58+Q58</f>
        <v>103</v>
      </c>
      <c r="I58" s="496">
        <f aca="true" t="shared" si="18" ref="I58:R58">I59+I60</f>
        <v>74</v>
      </c>
      <c r="J58" s="496">
        <f t="shared" si="18"/>
        <v>54</v>
      </c>
      <c r="K58" s="496">
        <f t="shared" si="18"/>
        <v>0</v>
      </c>
      <c r="L58" s="496">
        <f t="shared" si="18"/>
        <v>20</v>
      </c>
      <c r="M58" s="496">
        <f t="shared" si="18"/>
        <v>0</v>
      </c>
      <c r="N58" s="496">
        <f t="shared" si="18"/>
        <v>0</v>
      </c>
      <c r="O58" s="496">
        <f t="shared" si="18"/>
        <v>0</v>
      </c>
      <c r="P58" s="496">
        <f t="shared" si="18"/>
        <v>0</v>
      </c>
      <c r="Q58" s="496">
        <f t="shared" si="18"/>
        <v>29</v>
      </c>
      <c r="R58" s="495">
        <f t="shared" si="18"/>
        <v>49</v>
      </c>
      <c r="S58" s="497">
        <f>SUM(J58:K58)/SUM(I58)*100%</f>
        <v>0.7297297297297297</v>
      </c>
      <c r="T58" s="552">
        <f>I58/H58</f>
        <v>0.7184466019417476</v>
      </c>
      <c r="U58" s="553">
        <f>(R58-Q58-1)/1</f>
        <v>19</v>
      </c>
      <c r="V58" s="547">
        <f>(C58-74)/74</f>
        <v>0.40540540540540543</v>
      </c>
      <c r="W58" s="547">
        <f>(E58-64)/64</f>
        <v>0.359375</v>
      </c>
      <c r="X58" s="547">
        <f>(H58-74)/74</f>
        <v>0.3918918918918919</v>
      </c>
      <c r="Y58" s="547">
        <f>(I58-57)/57</f>
        <v>0.2982456140350877</v>
      </c>
      <c r="Z58" s="547">
        <f>(J58+K58-45)/45</f>
        <v>0.2</v>
      </c>
    </row>
    <row r="59" spans="1:19" ht="18.75" customHeight="1">
      <c r="A59" s="420" t="s">
        <v>43</v>
      </c>
      <c r="B59" s="465" t="s">
        <v>461</v>
      </c>
      <c r="C59" s="418">
        <f>D59+E59</f>
        <v>43</v>
      </c>
      <c r="D59" s="545">
        <v>4</v>
      </c>
      <c r="E59" s="538">
        <v>39</v>
      </c>
      <c r="F59" s="538">
        <v>1</v>
      </c>
      <c r="G59" s="468">
        <v>0</v>
      </c>
      <c r="H59" s="418">
        <f t="shared" si="10"/>
        <v>42</v>
      </c>
      <c r="I59" s="418">
        <f t="shared" si="8"/>
        <v>36</v>
      </c>
      <c r="J59" s="481">
        <v>22</v>
      </c>
      <c r="K59" s="481">
        <v>0</v>
      </c>
      <c r="L59" s="481">
        <v>14</v>
      </c>
      <c r="M59" s="481">
        <v>0</v>
      </c>
      <c r="N59" s="481">
        <v>0</v>
      </c>
      <c r="O59" s="481">
        <v>0</v>
      </c>
      <c r="P59" s="481">
        <v>0</v>
      </c>
      <c r="Q59" s="481">
        <v>6</v>
      </c>
      <c r="R59" s="418">
        <f t="shared" si="16"/>
        <v>20</v>
      </c>
      <c r="S59" s="493">
        <f>SUM(J59:K59)/SUM(I59)*100%</f>
        <v>0.6111111111111112</v>
      </c>
    </row>
    <row r="60" spans="1:19" ht="18.75" customHeight="1">
      <c r="A60" s="420" t="s">
        <v>44</v>
      </c>
      <c r="B60" s="465" t="s">
        <v>462</v>
      </c>
      <c r="C60" s="418">
        <f>D60+E60</f>
        <v>61</v>
      </c>
      <c r="D60" s="545">
        <v>13</v>
      </c>
      <c r="E60" s="538">
        <v>48</v>
      </c>
      <c r="F60" s="538">
        <v>0</v>
      </c>
      <c r="G60" s="468">
        <v>0</v>
      </c>
      <c r="H60" s="418">
        <f t="shared" si="10"/>
        <v>61</v>
      </c>
      <c r="I60" s="418">
        <f t="shared" si="8"/>
        <v>38</v>
      </c>
      <c r="J60" s="481">
        <v>32</v>
      </c>
      <c r="K60" s="481">
        <v>0</v>
      </c>
      <c r="L60" s="481">
        <v>6</v>
      </c>
      <c r="M60" s="481">
        <v>0</v>
      </c>
      <c r="N60" s="481">
        <v>0</v>
      </c>
      <c r="O60" s="481">
        <v>0</v>
      </c>
      <c r="P60" s="481">
        <v>0</v>
      </c>
      <c r="Q60" s="481">
        <v>23</v>
      </c>
      <c r="R60" s="418">
        <f t="shared" si="16"/>
        <v>29</v>
      </c>
      <c r="S60" s="493">
        <f>SUM(J60:K60)/SUM(I60)*100%</f>
        <v>0.8421052631578947</v>
      </c>
    </row>
    <row r="61" spans="1:22" ht="18.75" customHeight="1">
      <c r="A61" s="909" t="s">
        <v>475</v>
      </c>
      <c r="B61" s="909"/>
      <c r="C61" s="909"/>
      <c r="D61" s="909"/>
      <c r="E61" s="909"/>
      <c r="F61" s="909"/>
      <c r="G61" s="909"/>
      <c r="H61" s="909"/>
      <c r="I61" s="909"/>
      <c r="J61" s="909"/>
      <c r="K61" s="909"/>
      <c r="L61" s="909"/>
      <c r="M61" s="909"/>
      <c r="N61" s="909"/>
      <c r="O61" s="909"/>
      <c r="P61" s="909"/>
      <c r="Q61" s="909"/>
      <c r="R61" s="909"/>
      <c r="S61" s="909"/>
      <c r="T61" s="487"/>
      <c r="U61" s="487"/>
      <c r="V61" s="487"/>
    </row>
    <row r="62" spans="1:19" s="379" customFormat="1" ht="29.25" customHeight="1">
      <c r="A62" s="922"/>
      <c r="B62" s="922"/>
      <c r="C62" s="922"/>
      <c r="D62" s="922"/>
      <c r="E62" s="922"/>
      <c r="F62" s="409"/>
      <c r="G62" s="409"/>
      <c r="H62" s="409"/>
      <c r="I62" s="409"/>
      <c r="J62" s="409"/>
      <c r="K62" s="409"/>
      <c r="L62" s="409"/>
      <c r="M62" s="409"/>
      <c r="N62" s="923" t="str">
        <f>'Thong tin'!B8</f>
        <v>Tuyên Quang, ngày 01  tháng 9  năm 2017</v>
      </c>
      <c r="O62" s="923"/>
      <c r="P62" s="923"/>
      <c r="Q62" s="923"/>
      <c r="R62" s="923"/>
      <c r="S62" s="923"/>
    </row>
    <row r="63" spans="1:19" s="380" customFormat="1" ht="19.5" customHeight="1">
      <c r="A63" s="411"/>
      <c r="B63" s="905" t="s">
        <v>4</v>
      </c>
      <c r="C63" s="905"/>
      <c r="D63" s="905"/>
      <c r="E63" s="905"/>
      <c r="F63" s="407"/>
      <c r="G63" s="407"/>
      <c r="H63" s="407"/>
      <c r="I63" s="407"/>
      <c r="J63" s="407"/>
      <c r="K63" s="407"/>
      <c r="L63" s="407"/>
      <c r="M63" s="407"/>
      <c r="N63" s="921" t="str">
        <f>'Thong tin'!B7</f>
        <v>CỤC TRƯỞNG</v>
      </c>
      <c r="O63" s="921"/>
      <c r="P63" s="921"/>
      <c r="Q63" s="921"/>
      <c r="R63" s="921"/>
      <c r="S63" s="921"/>
    </row>
    <row r="64" spans="1:19" ht="18.75">
      <c r="A64" s="405"/>
      <c r="B64" s="889"/>
      <c r="C64" s="889"/>
      <c r="D64" s="889"/>
      <c r="E64" s="406"/>
      <c r="F64" s="406"/>
      <c r="G64" s="406"/>
      <c r="H64" s="406"/>
      <c r="I64" s="406"/>
      <c r="J64" s="406"/>
      <c r="K64" s="406"/>
      <c r="L64" s="406"/>
      <c r="M64" s="406"/>
      <c r="N64" s="888"/>
      <c r="O64" s="888"/>
      <c r="P64" s="888"/>
      <c r="Q64" s="888"/>
      <c r="R64" s="888"/>
      <c r="S64" s="888"/>
    </row>
    <row r="65" spans="1:19" ht="18.75">
      <c r="A65" s="405"/>
      <c r="B65" s="405"/>
      <c r="C65" s="405"/>
      <c r="D65" s="406"/>
      <c r="E65" s="406"/>
      <c r="F65" s="406"/>
      <c r="G65" s="406"/>
      <c r="H65" s="406"/>
      <c r="I65" s="406"/>
      <c r="J65" s="406"/>
      <c r="K65" s="406"/>
      <c r="L65" s="406"/>
      <c r="M65" s="406"/>
      <c r="N65" s="406"/>
      <c r="O65" s="406"/>
      <c r="P65" s="406"/>
      <c r="Q65" s="406"/>
      <c r="R65" s="405"/>
      <c r="S65" s="405"/>
    </row>
    <row r="66" spans="1:19" ht="18.75">
      <c r="A66" s="405"/>
      <c r="B66" s="888"/>
      <c r="C66" s="888"/>
      <c r="D66" s="888"/>
      <c r="E66" s="888"/>
      <c r="F66" s="406"/>
      <c r="G66" s="406"/>
      <c r="H66" s="406"/>
      <c r="I66" s="406"/>
      <c r="J66" s="406"/>
      <c r="K66" s="406"/>
      <c r="L66" s="406"/>
      <c r="M66" s="406"/>
      <c r="N66" s="406"/>
      <c r="O66" s="406"/>
      <c r="P66" s="888"/>
      <c r="Q66" s="888"/>
      <c r="R66" s="888"/>
      <c r="S66" s="405"/>
    </row>
    <row r="67" spans="1:19" ht="15.75" customHeight="1">
      <c r="A67" s="412"/>
      <c r="B67" s="405"/>
      <c r="C67" s="405"/>
      <c r="D67" s="406"/>
      <c r="E67" s="406"/>
      <c r="F67" s="406"/>
      <c r="G67" s="406"/>
      <c r="H67" s="406"/>
      <c r="I67" s="406"/>
      <c r="J67" s="406"/>
      <c r="K67" s="406"/>
      <c r="L67" s="406"/>
      <c r="M67" s="406"/>
      <c r="N67" s="406"/>
      <c r="O67" s="406"/>
      <c r="P67" s="406"/>
      <c r="Q67" s="406"/>
      <c r="R67" s="405"/>
      <c r="S67" s="405"/>
    </row>
    <row r="68" spans="1:19" ht="15.75" customHeight="1">
      <c r="A68" s="405"/>
      <c r="B68" s="908"/>
      <c r="C68" s="908"/>
      <c r="D68" s="908"/>
      <c r="E68" s="908"/>
      <c r="F68" s="908"/>
      <c r="G68" s="908"/>
      <c r="H68" s="908"/>
      <c r="I68" s="908"/>
      <c r="J68" s="908"/>
      <c r="K68" s="908"/>
      <c r="L68" s="908"/>
      <c r="M68" s="908"/>
      <c r="N68" s="908"/>
      <c r="O68" s="908"/>
      <c r="P68" s="406"/>
      <c r="Q68" s="406"/>
      <c r="R68" s="405"/>
      <c r="S68" s="405"/>
    </row>
    <row r="69" spans="1:19" ht="18.75">
      <c r="A69" s="408"/>
      <c r="B69" s="408"/>
      <c r="C69" s="408"/>
      <c r="D69" s="408"/>
      <c r="E69" s="408"/>
      <c r="F69" s="408"/>
      <c r="G69" s="408"/>
      <c r="H69" s="408"/>
      <c r="I69" s="408"/>
      <c r="J69" s="408"/>
      <c r="K69" s="408"/>
      <c r="L69" s="408"/>
      <c r="M69" s="408"/>
      <c r="N69" s="408"/>
      <c r="O69" s="408"/>
      <c r="P69" s="408"/>
      <c r="Q69" s="405"/>
      <c r="R69" s="405"/>
      <c r="S69" s="405"/>
    </row>
    <row r="70" spans="1:19" ht="18.75">
      <c r="A70" s="405"/>
      <c r="B70" s="405"/>
      <c r="C70" s="405"/>
      <c r="D70" s="405"/>
      <c r="E70" s="405"/>
      <c r="F70" s="405"/>
      <c r="G70" s="405"/>
      <c r="H70" s="405"/>
      <c r="I70" s="405"/>
      <c r="J70" s="405"/>
      <c r="K70" s="405"/>
      <c r="L70" s="405"/>
      <c r="M70" s="405"/>
      <c r="N70" s="405"/>
      <c r="O70" s="405"/>
      <c r="P70" s="405"/>
      <c r="Q70" s="405"/>
      <c r="R70" s="405"/>
      <c r="S70" s="405"/>
    </row>
    <row r="71" spans="1:19" ht="18.75">
      <c r="A71" s="405"/>
      <c r="B71" s="885" t="str">
        <f>'Thong tin'!B5</f>
        <v>Duy Thị Thúy</v>
      </c>
      <c r="C71" s="885"/>
      <c r="D71" s="885"/>
      <c r="E71" s="885"/>
      <c r="F71" s="405"/>
      <c r="G71" s="405"/>
      <c r="H71" s="405"/>
      <c r="I71" s="405"/>
      <c r="J71" s="405"/>
      <c r="K71" s="405"/>
      <c r="L71" s="405"/>
      <c r="M71" s="405"/>
      <c r="N71" s="885" t="str">
        <f>'Thong tin'!B6</f>
        <v>Nguyễn Tuyên </v>
      </c>
      <c r="O71" s="885"/>
      <c r="P71" s="885"/>
      <c r="Q71" s="885"/>
      <c r="R71" s="885"/>
      <c r="S71" s="885"/>
    </row>
    <row r="72" spans="1:19" ht="18.75">
      <c r="A72" s="388"/>
      <c r="B72" s="388"/>
      <c r="C72" s="388"/>
      <c r="D72" s="388"/>
      <c r="E72" s="388"/>
      <c r="F72" s="388"/>
      <c r="G72" s="388"/>
      <c r="H72" s="388"/>
      <c r="I72" s="388"/>
      <c r="J72" s="388"/>
      <c r="K72" s="388"/>
      <c r="L72" s="388"/>
      <c r="M72" s="388"/>
      <c r="N72" s="388"/>
      <c r="O72" s="388"/>
      <c r="P72" s="388"/>
      <c r="Q72" s="388"/>
      <c r="R72" s="388"/>
      <c r="S72" s="388"/>
    </row>
  </sheetData>
  <sheetProtection/>
  <mergeCells count="44">
    <mergeCell ref="Z7:Z9"/>
    <mergeCell ref="T7:T10"/>
    <mergeCell ref="U7:U10"/>
    <mergeCell ref="V7:V9"/>
    <mergeCell ref="W7:W9"/>
    <mergeCell ref="X7:X9"/>
    <mergeCell ref="Y7:Y9"/>
    <mergeCell ref="A2:D2"/>
    <mergeCell ref="P2:S2"/>
    <mergeCell ref="A3:D3"/>
    <mergeCell ref="N63:S63"/>
    <mergeCell ref="A62:E62"/>
    <mergeCell ref="N62:S62"/>
    <mergeCell ref="A6:B9"/>
    <mergeCell ref="I8:I9"/>
    <mergeCell ref="S6:S9"/>
    <mergeCell ref="I7:P7"/>
    <mergeCell ref="E1:O1"/>
    <mergeCell ref="E2:O2"/>
    <mergeCell ref="E3:O3"/>
    <mergeCell ref="F6:F9"/>
    <mergeCell ref="G6:G9"/>
    <mergeCell ref="H6:Q6"/>
    <mergeCell ref="C6:E6"/>
    <mergeCell ref="P4:S4"/>
    <mergeCell ref="H7:H9"/>
    <mergeCell ref="Q7:Q9"/>
    <mergeCell ref="A11:B11"/>
    <mergeCell ref="N64:S64"/>
    <mergeCell ref="B68:O68"/>
    <mergeCell ref="B64:D64"/>
    <mergeCell ref="B66:E66"/>
    <mergeCell ref="P66:R66"/>
    <mergeCell ref="A61:S61"/>
    <mergeCell ref="R6:R9"/>
    <mergeCell ref="C7:C9"/>
    <mergeCell ref="N71:S71"/>
    <mergeCell ref="D7:E7"/>
    <mergeCell ref="D8:D9"/>
    <mergeCell ref="E8:E9"/>
    <mergeCell ref="J8:P8"/>
    <mergeCell ref="B71:E71"/>
    <mergeCell ref="A10:B10"/>
    <mergeCell ref="B63:E63"/>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18" t="s">
        <v>29</v>
      </c>
      <c r="B1" s="618"/>
      <c r="C1" s="618"/>
      <c r="D1" s="618"/>
      <c r="E1" s="617" t="s">
        <v>359</v>
      </c>
      <c r="F1" s="617"/>
      <c r="G1" s="617"/>
      <c r="H1" s="617"/>
      <c r="I1" s="617"/>
      <c r="J1" s="617"/>
      <c r="K1" s="617"/>
      <c r="L1" s="31" t="s">
        <v>335</v>
      </c>
      <c r="M1" s="31"/>
      <c r="N1" s="31"/>
      <c r="O1" s="32"/>
      <c r="P1" s="32"/>
    </row>
    <row r="2" spans="1:16" ht="15.75" customHeight="1">
      <c r="A2" s="604" t="s">
        <v>226</v>
      </c>
      <c r="B2" s="604"/>
      <c r="C2" s="604"/>
      <c r="D2" s="604"/>
      <c r="E2" s="617"/>
      <c r="F2" s="617"/>
      <c r="G2" s="617"/>
      <c r="H2" s="617"/>
      <c r="I2" s="617"/>
      <c r="J2" s="617"/>
      <c r="K2" s="617"/>
      <c r="L2" s="612" t="s">
        <v>238</v>
      </c>
      <c r="M2" s="612"/>
      <c r="N2" s="612"/>
      <c r="O2" s="35"/>
      <c r="P2" s="32"/>
    </row>
    <row r="3" spans="1:16" ht="18" customHeight="1">
      <c r="A3" s="604" t="s">
        <v>227</v>
      </c>
      <c r="B3" s="604"/>
      <c r="C3" s="604"/>
      <c r="D3" s="604"/>
      <c r="E3" s="605" t="s">
        <v>355</v>
      </c>
      <c r="F3" s="605"/>
      <c r="G3" s="605"/>
      <c r="H3" s="605"/>
      <c r="I3" s="605"/>
      <c r="J3" s="605"/>
      <c r="K3" s="36"/>
      <c r="L3" s="613" t="s">
        <v>354</v>
      </c>
      <c r="M3" s="613"/>
      <c r="N3" s="613"/>
      <c r="O3" s="32"/>
      <c r="P3" s="32"/>
    </row>
    <row r="4" spans="1:16" ht="21" customHeight="1">
      <c r="A4" s="616" t="s">
        <v>241</v>
      </c>
      <c r="B4" s="616"/>
      <c r="C4" s="616"/>
      <c r="D4" s="616"/>
      <c r="E4" s="39"/>
      <c r="F4" s="40"/>
      <c r="G4" s="41"/>
      <c r="H4" s="41"/>
      <c r="I4" s="41"/>
      <c r="J4" s="41"/>
      <c r="K4" s="32"/>
      <c r="L4" s="612" t="s">
        <v>233</v>
      </c>
      <c r="M4" s="612"/>
      <c r="N4" s="612"/>
      <c r="O4" s="35"/>
      <c r="P4" s="32"/>
    </row>
    <row r="5" spans="1:16" ht="18" customHeight="1">
      <c r="A5" s="41"/>
      <c r="B5" s="32"/>
      <c r="C5" s="42"/>
      <c r="D5" s="614"/>
      <c r="E5" s="614"/>
      <c r="F5" s="614"/>
      <c r="G5" s="614"/>
      <c r="H5" s="614"/>
      <c r="I5" s="614"/>
      <c r="J5" s="614"/>
      <c r="K5" s="614"/>
      <c r="L5" s="43" t="s">
        <v>242</v>
      </c>
      <c r="M5" s="43"/>
      <c r="N5" s="43"/>
      <c r="O5" s="32"/>
      <c r="P5" s="32"/>
    </row>
    <row r="6" spans="1:18" ht="33" customHeight="1">
      <c r="A6" s="622" t="s">
        <v>53</v>
      </c>
      <c r="B6" s="623"/>
      <c r="C6" s="615" t="s">
        <v>243</v>
      </c>
      <c r="D6" s="615"/>
      <c r="E6" s="615"/>
      <c r="F6" s="615"/>
      <c r="G6" s="591" t="s">
        <v>7</v>
      </c>
      <c r="H6" s="592"/>
      <c r="I6" s="592"/>
      <c r="J6" s="592"/>
      <c r="K6" s="592"/>
      <c r="L6" s="592"/>
      <c r="M6" s="592"/>
      <c r="N6" s="593"/>
      <c r="O6" s="596" t="s">
        <v>244</v>
      </c>
      <c r="P6" s="597"/>
      <c r="Q6" s="597"/>
      <c r="R6" s="598"/>
    </row>
    <row r="7" spans="1:18" ht="29.25" customHeight="1">
      <c r="A7" s="624"/>
      <c r="B7" s="625"/>
      <c r="C7" s="615"/>
      <c r="D7" s="615"/>
      <c r="E7" s="615"/>
      <c r="F7" s="615"/>
      <c r="G7" s="591" t="s">
        <v>245</v>
      </c>
      <c r="H7" s="592"/>
      <c r="I7" s="592"/>
      <c r="J7" s="593"/>
      <c r="K7" s="591" t="s">
        <v>88</v>
      </c>
      <c r="L7" s="592"/>
      <c r="M7" s="592"/>
      <c r="N7" s="593"/>
      <c r="O7" s="45" t="s">
        <v>246</v>
      </c>
      <c r="P7" s="45" t="s">
        <v>247</v>
      </c>
      <c r="Q7" s="599" t="s">
        <v>248</v>
      </c>
      <c r="R7" s="599" t="s">
        <v>249</v>
      </c>
    </row>
    <row r="8" spans="1:18" ht="26.25" customHeight="1">
      <c r="A8" s="624"/>
      <c r="B8" s="625"/>
      <c r="C8" s="594" t="s">
        <v>85</v>
      </c>
      <c r="D8" s="621"/>
      <c r="E8" s="594" t="s">
        <v>84</v>
      </c>
      <c r="F8" s="621"/>
      <c r="G8" s="594" t="s">
        <v>86</v>
      </c>
      <c r="H8" s="595"/>
      <c r="I8" s="594" t="s">
        <v>87</v>
      </c>
      <c r="J8" s="595"/>
      <c r="K8" s="594" t="s">
        <v>89</v>
      </c>
      <c r="L8" s="595"/>
      <c r="M8" s="594" t="s">
        <v>90</v>
      </c>
      <c r="N8" s="595"/>
      <c r="O8" s="601" t="s">
        <v>250</v>
      </c>
      <c r="P8" s="602" t="s">
        <v>251</v>
      </c>
      <c r="Q8" s="599"/>
      <c r="R8" s="599"/>
    </row>
    <row r="9" spans="1:18" ht="30.75" customHeight="1">
      <c r="A9" s="624"/>
      <c r="B9" s="625"/>
      <c r="C9" s="46" t="s">
        <v>3</v>
      </c>
      <c r="D9" s="44" t="s">
        <v>9</v>
      </c>
      <c r="E9" s="44" t="s">
        <v>3</v>
      </c>
      <c r="F9" s="44" t="s">
        <v>9</v>
      </c>
      <c r="G9" s="47" t="s">
        <v>3</v>
      </c>
      <c r="H9" s="47" t="s">
        <v>9</v>
      </c>
      <c r="I9" s="47" t="s">
        <v>3</v>
      </c>
      <c r="J9" s="47" t="s">
        <v>9</v>
      </c>
      <c r="K9" s="47" t="s">
        <v>3</v>
      </c>
      <c r="L9" s="47" t="s">
        <v>9</v>
      </c>
      <c r="M9" s="47" t="s">
        <v>3</v>
      </c>
      <c r="N9" s="47" t="s">
        <v>9</v>
      </c>
      <c r="O9" s="601"/>
      <c r="P9" s="603"/>
      <c r="Q9" s="600"/>
      <c r="R9" s="600"/>
    </row>
    <row r="10" spans="1:18" s="52" customFormat="1" ht="18" customHeight="1">
      <c r="A10" s="608" t="s">
        <v>6</v>
      </c>
      <c r="B10" s="608"/>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10" t="s">
        <v>252</v>
      </c>
      <c r="B11" s="61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28" t="s">
        <v>356</v>
      </c>
      <c r="B12" s="629"/>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26" t="s">
        <v>31</v>
      </c>
      <c r="B13" s="62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9" t="s">
        <v>357</v>
      </c>
      <c r="C28" s="609"/>
      <c r="D28" s="609"/>
      <c r="E28" s="609"/>
      <c r="F28" s="75"/>
      <c r="G28" s="76"/>
      <c r="H28" s="76"/>
      <c r="I28" s="76"/>
      <c r="J28" s="609" t="s">
        <v>358</v>
      </c>
      <c r="K28" s="609"/>
      <c r="L28" s="609"/>
      <c r="M28" s="609"/>
      <c r="N28" s="609"/>
      <c r="O28" s="77"/>
      <c r="P28" s="77"/>
      <c r="AG28" s="78" t="s">
        <v>273</v>
      </c>
      <c r="AI28" s="79">
        <f>82/88</f>
        <v>0.9318181818181818</v>
      </c>
    </row>
    <row r="29" spans="1:16" s="85" customFormat="1" ht="19.5" customHeight="1">
      <c r="A29" s="80"/>
      <c r="B29" s="588" t="s">
        <v>35</v>
      </c>
      <c r="C29" s="588"/>
      <c r="D29" s="588"/>
      <c r="E29" s="588"/>
      <c r="F29" s="82"/>
      <c r="G29" s="83"/>
      <c r="H29" s="83"/>
      <c r="I29" s="83"/>
      <c r="J29" s="588" t="s">
        <v>274</v>
      </c>
      <c r="K29" s="588"/>
      <c r="L29" s="588"/>
      <c r="M29" s="588"/>
      <c r="N29" s="588"/>
      <c r="O29" s="84"/>
      <c r="P29" s="84"/>
    </row>
    <row r="30" spans="1:16" s="85" customFormat="1" ht="19.5" customHeight="1">
      <c r="A30" s="80"/>
      <c r="B30" s="606"/>
      <c r="C30" s="606"/>
      <c r="D30" s="606"/>
      <c r="E30" s="82"/>
      <c r="F30" s="82"/>
      <c r="G30" s="83"/>
      <c r="H30" s="83"/>
      <c r="I30" s="83"/>
      <c r="J30" s="607"/>
      <c r="K30" s="607"/>
      <c r="L30" s="607"/>
      <c r="M30" s="607"/>
      <c r="N30" s="607"/>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590" t="s">
        <v>275</v>
      </c>
      <c r="C32" s="590"/>
      <c r="D32" s="590"/>
      <c r="E32" s="590"/>
      <c r="F32" s="87"/>
      <c r="G32" s="88"/>
      <c r="H32" s="88"/>
      <c r="I32" s="88"/>
      <c r="J32" s="589" t="s">
        <v>275</v>
      </c>
      <c r="K32" s="589"/>
      <c r="L32" s="589"/>
      <c r="M32" s="589"/>
      <c r="N32" s="589"/>
      <c r="O32" s="84"/>
      <c r="P32" s="84"/>
    </row>
    <row r="33" spans="1:16" s="85" customFormat="1" ht="19.5" customHeight="1">
      <c r="A33" s="80"/>
      <c r="B33" s="588" t="s">
        <v>276</v>
      </c>
      <c r="C33" s="588"/>
      <c r="D33" s="588"/>
      <c r="E33" s="588"/>
      <c r="F33" s="82"/>
      <c r="G33" s="83"/>
      <c r="H33" s="83"/>
      <c r="I33" s="83"/>
      <c r="J33" s="81"/>
      <c r="K33" s="588" t="s">
        <v>276</v>
      </c>
      <c r="L33" s="588"/>
      <c r="M33" s="58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9" t="s">
        <v>229</v>
      </c>
      <c r="C36" s="619"/>
      <c r="D36" s="619"/>
      <c r="E36" s="619"/>
      <c r="F36" s="91"/>
      <c r="G36" s="91"/>
      <c r="H36" s="91"/>
      <c r="I36" s="91"/>
      <c r="J36" s="620" t="s">
        <v>230</v>
      </c>
      <c r="K36" s="620"/>
      <c r="L36" s="620"/>
      <c r="M36" s="620"/>
      <c r="N36" s="620"/>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30" t="s">
        <v>26</v>
      </c>
      <c r="B1" s="630"/>
      <c r="C1" s="98"/>
      <c r="D1" s="637" t="s">
        <v>336</v>
      </c>
      <c r="E1" s="637"/>
      <c r="F1" s="637"/>
      <c r="G1" s="637"/>
      <c r="H1" s="637"/>
      <c r="I1" s="637"/>
      <c r="J1" s="637"/>
      <c r="K1" s="637"/>
      <c r="L1" s="637"/>
      <c r="M1" s="655" t="s">
        <v>277</v>
      </c>
      <c r="N1" s="656"/>
      <c r="O1" s="656"/>
      <c r="P1" s="656"/>
    </row>
    <row r="2" spans="1:16" s="42" customFormat="1" ht="34.5" customHeight="1">
      <c r="A2" s="636" t="s">
        <v>278</v>
      </c>
      <c r="B2" s="636"/>
      <c r="C2" s="636"/>
      <c r="D2" s="637"/>
      <c r="E2" s="637"/>
      <c r="F2" s="637"/>
      <c r="G2" s="637"/>
      <c r="H2" s="637"/>
      <c r="I2" s="637"/>
      <c r="J2" s="637"/>
      <c r="K2" s="637"/>
      <c r="L2" s="637"/>
      <c r="M2" s="657" t="s">
        <v>337</v>
      </c>
      <c r="N2" s="658"/>
      <c r="O2" s="658"/>
      <c r="P2" s="658"/>
    </row>
    <row r="3" spans="1:16" s="42" customFormat="1" ht="19.5" customHeight="1">
      <c r="A3" s="635" t="s">
        <v>279</v>
      </c>
      <c r="B3" s="635"/>
      <c r="C3" s="635"/>
      <c r="D3" s="637"/>
      <c r="E3" s="637"/>
      <c r="F3" s="637"/>
      <c r="G3" s="637"/>
      <c r="H3" s="637"/>
      <c r="I3" s="637"/>
      <c r="J3" s="637"/>
      <c r="K3" s="637"/>
      <c r="L3" s="637"/>
      <c r="M3" s="657" t="s">
        <v>280</v>
      </c>
      <c r="N3" s="658"/>
      <c r="O3" s="658"/>
      <c r="P3" s="658"/>
    </row>
    <row r="4" spans="1:16" s="103" customFormat="1" ht="18.75" customHeight="1">
      <c r="A4" s="99"/>
      <c r="B4" s="99"/>
      <c r="C4" s="100"/>
      <c r="D4" s="614"/>
      <c r="E4" s="614"/>
      <c r="F4" s="614"/>
      <c r="G4" s="614"/>
      <c r="H4" s="614"/>
      <c r="I4" s="614"/>
      <c r="J4" s="614"/>
      <c r="K4" s="614"/>
      <c r="L4" s="614"/>
      <c r="M4" s="101" t="s">
        <v>281</v>
      </c>
      <c r="N4" s="102"/>
      <c r="O4" s="102"/>
      <c r="P4" s="102"/>
    </row>
    <row r="5" spans="1:16" ht="49.5" customHeight="1">
      <c r="A5" s="642" t="s">
        <v>53</v>
      </c>
      <c r="B5" s="643"/>
      <c r="C5" s="632" t="s">
        <v>78</v>
      </c>
      <c r="D5" s="633"/>
      <c r="E5" s="633"/>
      <c r="F5" s="633"/>
      <c r="G5" s="633"/>
      <c r="H5" s="633"/>
      <c r="I5" s="633"/>
      <c r="J5" s="633"/>
      <c r="K5" s="631" t="s">
        <v>77</v>
      </c>
      <c r="L5" s="631"/>
      <c r="M5" s="631"/>
      <c r="N5" s="631"/>
      <c r="O5" s="631"/>
      <c r="P5" s="631"/>
    </row>
    <row r="6" spans="1:16" ht="20.25" customHeight="1">
      <c r="A6" s="644"/>
      <c r="B6" s="645"/>
      <c r="C6" s="632" t="s">
        <v>3</v>
      </c>
      <c r="D6" s="633"/>
      <c r="E6" s="633"/>
      <c r="F6" s="634"/>
      <c r="G6" s="631" t="s">
        <v>9</v>
      </c>
      <c r="H6" s="631"/>
      <c r="I6" s="631"/>
      <c r="J6" s="631"/>
      <c r="K6" s="659" t="s">
        <v>3</v>
      </c>
      <c r="L6" s="659"/>
      <c r="M6" s="659"/>
      <c r="N6" s="654" t="s">
        <v>9</v>
      </c>
      <c r="O6" s="654"/>
      <c r="P6" s="654"/>
    </row>
    <row r="7" spans="1:16" ht="52.5" customHeight="1">
      <c r="A7" s="644"/>
      <c r="B7" s="645"/>
      <c r="C7" s="648" t="s">
        <v>282</v>
      </c>
      <c r="D7" s="633" t="s">
        <v>74</v>
      </c>
      <c r="E7" s="633"/>
      <c r="F7" s="634"/>
      <c r="G7" s="631" t="s">
        <v>283</v>
      </c>
      <c r="H7" s="631" t="s">
        <v>74</v>
      </c>
      <c r="I7" s="631"/>
      <c r="J7" s="631"/>
      <c r="K7" s="631" t="s">
        <v>32</v>
      </c>
      <c r="L7" s="631" t="s">
        <v>75</v>
      </c>
      <c r="M7" s="631"/>
      <c r="N7" s="631" t="s">
        <v>60</v>
      </c>
      <c r="O7" s="631" t="s">
        <v>75</v>
      </c>
      <c r="P7" s="631"/>
    </row>
    <row r="8" spans="1:16" ht="15.75" customHeight="1">
      <c r="A8" s="644"/>
      <c r="B8" s="645"/>
      <c r="C8" s="648"/>
      <c r="D8" s="631" t="s">
        <v>36</v>
      </c>
      <c r="E8" s="631" t="s">
        <v>37</v>
      </c>
      <c r="F8" s="631" t="s">
        <v>40</v>
      </c>
      <c r="G8" s="631"/>
      <c r="H8" s="631" t="s">
        <v>36</v>
      </c>
      <c r="I8" s="631" t="s">
        <v>37</v>
      </c>
      <c r="J8" s="631" t="s">
        <v>40</v>
      </c>
      <c r="K8" s="631"/>
      <c r="L8" s="631" t="s">
        <v>14</v>
      </c>
      <c r="M8" s="631" t="s">
        <v>13</v>
      </c>
      <c r="N8" s="631"/>
      <c r="O8" s="631" t="s">
        <v>14</v>
      </c>
      <c r="P8" s="631" t="s">
        <v>13</v>
      </c>
    </row>
    <row r="9" spans="1:16" ht="44.25" customHeight="1">
      <c r="A9" s="646"/>
      <c r="B9" s="647"/>
      <c r="C9" s="649"/>
      <c r="D9" s="631"/>
      <c r="E9" s="631"/>
      <c r="F9" s="631"/>
      <c r="G9" s="631"/>
      <c r="H9" s="631"/>
      <c r="I9" s="631"/>
      <c r="J9" s="631"/>
      <c r="K9" s="631"/>
      <c r="L9" s="631"/>
      <c r="M9" s="631"/>
      <c r="N9" s="631"/>
      <c r="O9" s="631"/>
      <c r="P9" s="631"/>
    </row>
    <row r="10" spans="1:16" ht="15" customHeight="1">
      <c r="A10" s="640" t="s">
        <v>6</v>
      </c>
      <c r="B10" s="641"/>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50" t="s">
        <v>284</v>
      </c>
      <c r="B11" s="65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52" t="s">
        <v>285</v>
      </c>
      <c r="B12" s="653"/>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8" t="s">
        <v>33</v>
      </c>
      <c r="B13" s="63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65" t="s">
        <v>338</v>
      </c>
      <c r="C28" s="666"/>
      <c r="D28" s="666"/>
      <c r="E28" s="666"/>
      <c r="F28" s="123"/>
      <c r="G28" s="123"/>
      <c r="H28" s="123"/>
      <c r="I28" s="123"/>
      <c r="J28" s="123"/>
      <c r="K28" s="660" t="s">
        <v>339</v>
      </c>
      <c r="L28" s="660"/>
      <c r="M28" s="660"/>
      <c r="N28" s="660"/>
      <c r="O28" s="660"/>
      <c r="P28" s="660"/>
      <c r="AG28" s="73" t="s">
        <v>273</v>
      </c>
      <c r="AI28" s="113">
        <f>82/88</f>
        <v>0.9318181818181818</v>
      </c>
    </row>
    <row r="29" spans="2:16" ht="16.5">
      <c r="B29" s="666"/>
      <c r="C29" s="666"/>
      <c r="D29" s="666"/>
      <c r="E29" s="666"/>
      <c r="F29" s="123"/>
      <c r="G29" s="123"/>
      <c r="H29" s="123"/>
      <c r="I29" s="123"/>
      <c r="J29" s="123"/>
      <c r="K29" s="660"/>
      <c r="L29" s="660"/>
      <c r="M29" s="660"/>
      <c r="N29" s="660"/>
      <c r="O29" s="660"/>
      <c r="P29" s="660"/>
    </row>
    <row r="30" spans="2:16" ht="21" customHeight="1">
      <c r="B30" s="666"/>
      <c r="C30" s="666"/>
      <c r="D30" s="666"/>
      <c r="E30" s="666"/>
      <c r="F30" s="123"/>
      <c r="G30" s="123"/>
      <c r="H30" s="123"/>
      <c r="I30" s="123"/>
      <c r="J30" s="123"/>
      <c r="K30" s="660"/>
      <c r="L30" s="660"/>
      <c r="M30" s="660"/>
      <c r="N30" s="660"/>
      <c r="O30" s="660"/>
      <c r="P30" s="660"/>
    </row>
    <row r="32" spans="2:16" ht="16.5" customHeight="1">
      <c r="B32" s="668" t="s">
        <v>276</v>
      </c>
      <c r="C32" s="668"/>
      <c r="D32" s="668"/>
      <c r="E32" s="124"/>
      <c r="F32" s="124"/>
      <c r="G32" s="124"/>
      <c r="H32" s="124"/>
      <c r="I32" s="124"/>
      <c r="J32" s="124"/>
      <c r="K32" s="667" t="s">
        <v>340</v>
      </c>
      <c r="L32" s="667"/>
      <c r="M32" s="667"/>
      <c r="N32" s="667"/>
      <c r="O32" s="667"/>
      <c r="P32" s="667"/>
    </row>
    <row r="33" ht="12.75" customHeight="1"/>
    <row r="34" spans="2:5" ht="15.75">
      <c r="B34" s="125"/>
      <c r="C34" s="125"/>
      <c r="D34" s="125"/>
      <c r="E34" s="125"/>
    </row>
    <row r="35" ht="15.75" hidden="1"/>
    <row r="36" spans="2:16" ht="15.75">
      <c r="B36" s="663" t="s">
        <v>229</v>
      </c>
      <c r="C36" s="663"/>
      <c r="D36" s="663"/>
      <c r="E36" s="663"/>
      <c r="F36" s="126"/>
      <c r="G36" s="126"/>
      <c r="H36" s="126"/>
      <c r="I36" s="126"/>
      <c r="K36" s="664" t="s">
        <v>230</v>
      </c>
      <c r="L36" s="664"/>
      <c r="M36" s="664"/>
      <c r="N36" s="664"/>
      <c r="O36" s="664"/>
      <c r="P36" s="664"/>
    </row>
    <row r="39" ht="15.75">
      <c r="A39" s="128" t="s">
        <v>41</v>
      </c>
    </row>
    <row r="40" spans="1:6" ht="15.75">
      <c r="A40" s="129"/>
      <c r="B40" s="130" t="s">
        <v>46</v>
      </c>
      <c r="C40" s="130"/>
      <c r="D40" s="130"/>
      <c r="E40" s="130"/>
      <c r="F40" s="130"/>
    </row>
    <row r="41" spans="1:14" ht="15.75" customHeight="1">
      <c r="A41" s="131" t="s">
        <v>25</v>
      </c>
      <c r="B41" s="662" t="s">
        <v>49</v>
      </c>
      <c r="C41" s="662"/>
      <c r="D41" s="662"/>
      <c r="E41" s="662"/>
      <c r="F41" s="662"/>
      <c r="G41" s="131"/>
      <c r="H41" s="131"/>
      <c r="I41" s="131"/>
      <c r="J41" s="131"/>
      <c r="K41" s="131"/>
      <c r="L41" s="131"/>
      <c r="M41" s="131"/>
      <c r="N41" s="131"/>
    </row>
    <row r="42" spans="1:14" ht="15" customHeight="1">
      <c r="A42" s="131"/>
      <c r="B42" s="661" t="s">
        <v>50</v>
      </c>
      <c r="C42" s="661"/>
      <c r="D42" s="661"/>
      <c r="E42" s="661"/>
      <c r="F42" s="661"/>
      <c r="G42" s="661"/>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18" t="s">
        <v>95</v>
      </c>
      <c r="B1" s="618"/>
      <c r="C1" s="618"/>
      <c r="D1" s="672" t="s">
        <v>341</v>
      </c>
      <c r="E1" s="672"/>
      <c r="F1" s="672"/>
      <c r="G1" s="672"/>
      <c r="H1" s="672"/>
      <c r="I1" s="672"/>
      <c r="J1" s="681" t="s">
        <v>342</v>
      </c>
      <c r="K1" s="682"/>
      <c r="L1" s="682"/>
    </row>
    <row r="2" spans="1:13" ht="15.75" customHeight="1">
      <c r="A2" s="683" t="s">
        <v>287</v>
      </c>
      <c r="B2" s="683"/>
      <c r="C2" s="683"/>
      <c r="D2" s="672"/>
      <c r="E2" s="672"/>
      <c r="F2" s="672"/>
      <c r="G2" s="672"/>
      <c r="H2" s="672"/>
      <c r="I2" s="672"/>
      <c r="J2" s="682" t="s">
        <v>288</v>
      </c>
      <c r="K2" s="682"/>
      <c r="L2" s="682"/>
      <c r="M2" s="133"/>
    </row>
    <row r="3" spans="1:13" ht="15.75" customHeight="1">
      <c r="A3" s="604" t="s">
        <v>239</v>
      </c>
      <c r="B3" s="604"/>
      <c r="C3" s="604"/>
      <c r="D3" s="672"/>
      <c r="E3" s="672"/>
      <c r="F3" s="672"/>
      <c r="G3" s="672"/>
      <c r="H3" s="672"/>
      <c r="I3" s="672"/>
      <c r="J3" s="681" t="s">
        <v>343</v>
      </c>
      <c r="K3" s="681"/>
      <c r="L3" s="681"/>
      <c r="M3" s="37"/>
    </row>
    <row r="4" spans="1:13" ht="15.75" customHeight="1">
      <c r="A4" s="679" t="s">
        <v>241</v>
      </c>
      <c r="B4" s="679"/>
      <c r="C4" s="679"/>
      <c r="D4" s="674"/>
      <c r="E4" s="674"/>
      <c r="F4" s="674"/>
      <c r="G4" s="674"/>
      <c r="H4" s="674"/>
      <c r="I4" s="674"/>
      <c r="J4" s="682" t="s">
        <v>289</v>
      </c>
      <c r="K4" s="682"/>
      <c r="L4" s="682"/>
      <c r="M4" s="133"/>
    </row>
    <row r="5" spans="1:13" ht="15.75">
      <c r="A5" s="134"/>
      <c r="B5" s="134"/>
      <c r="C5" s="34"/>
      <c r="D5" s="34"/>
      <c r="E5" s="34"/>
      <c r="F5" s="34"/>
      <c r="G5" s="34"/>
      <c r="H5" s="34"/>
      <c r="I5" s="34"/>
      <c r="J5" s="673" t="s">
        <v>8</v>
      </c>
      <c r="K5" s="673"/>
      <c r="L5" s="673"/>
      <c r="M5" s="133"/>
    </row>
    <row r="6" spans="1:14" ht="15.75">
      <c r="A6" s="686" t="s">
        <v>53</v>
      </c>
      <c r="B6" s="687"/>
      <c r="C6" s="631" t="s">
        <v>290</v>
      </c>
      <c r="D6" s="671" t="s">
        <v>291</v>
      </c>
      <c r="E6" s="671"/>
      <c r="F6" s="671"/>
      <c r="G6" s="671"/>
      <c r="H6" s="671"/>
      <c r="I6" s="671"/>
      <c r="J6" s="615" t="s">
        <v>93</v>
      </c>
      <c r="K6" s="615"/>
      <c r="L6" s="615"/>
      <c r="M6" s="669" t="s">
        <v>292</v>
      </c>
      <c r="N6" s="670" t="s">
        <v>293</v>
      </c>
    </row>
    <row r="7" spans="1:14" ht="15.75" customHeight="1">
      <c r="A7" s="688"/>
      <c r="B7" s="689"/>
      <c r="C7" s="631"/>
      <c r="D7" s="671" t="s">
        <v>7</v>
      </c>
      <c r="E7" s="671"/>
      <c r="F7" s="671"/>
      <c r="G7" s="671"/>
      <c r="H7" s="671"/>
      <c r="I7" s="671"/>
      <c r="J7" s="615"/>
      <c r="K7" s="615"/>
      <c r="L7" s="615"/>
      <c r="M7" s="669"/>
      <c r="N7" s="670"/>
    </row>
    <row r="8" spans="1:14" s="73" customFormat="1" ht="31.5" customHeight="1">
      <c r="A8" s="688"/>
      <c r="B8" s="689"/>
      <c r="C8" s="631"/>
      <c r="D8" s="615" t="s">
        <v>91</v>
      </c>
      <c r="E8" s="615" t="s">
        <v>92</v>
      </c>
      <c r="F8" s="615"/>
      <c r="G8" s="615"/>
      <c r="H8" s="615"/>
      <c r="I8" s="615"/>
      <c r="J8" s="615"/>
      <c r="K8" s="615"/>
      <c r="L8" s="615"/>
      <c r="M8" s="669"/>
      <c r="N8" s="670"/>
    </row>
    <row r="9" spans="1:14" s="73" customFormat="1" ht="15.75" customHeight="1">
      <c r="A9" s="688"/>
      <c r="B9" s="689"/>
      <c r="C9" s="631"/>
      <c r="D9" s="615"/>
      <c r="E9" s="615" t="s">
        <v>94</v>
      </c>
      <c r="F9" s="615" t="s">
        <v>7</v>
      </c>
      <c r="G9" s="615"/>
      <c r="H9" s="615"/>
      <c r="I9" s="615"/>
      <c r="J9" s="615" t="s">
        <v>7</v>
      </c>
      <c r="K9" s="615"/>
      <c r="L9" s="615"/>
      <c r="M9" s="669"/>
      <c r="N9" s="670"/>
    </row>
    <row r="10" spans="1:14" s="73" customFormat="1" ht="86.25" customHeight="1">
      <c r="A10" s="690"/>
      <c r="B10" s="691"/>
      <c r="C10" s="631"/>
      <c r="D10" s="615"/>
      <c r="E10" s="615"/>
      <c r="F10" s="104" t="s">
        <v>22</v>
      </c>
      <c r="G10" s="104" t="s">
        <v>24</v>
      </c>
      <c r="H10" s="104" t="s">
        <v>16</v>
      </c>
      <c r="I10" s="104" t="s">
        <v>23</v>
      </c>
      <c r="J10" s="104" t="s">
        <v>15</v>
      </c>
      <c r="K10" s="104" t="s">
        <v>20</v>
      </c>
      <c r="L10" s="104" t="s">
        <v>21</v>
      </c>
      <c r="M10" s="669"/>
      <c r="N10" s="670"/>
    </row>
    <row r="11" spans="1:32" ht="13.5" customHeight="1">
      <c r="A11" s="696" t="s">
        <v>5</v>
      </c>
      <c r="B11" s="697"/>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77" t="s">
        <v>284</v>
      </c>
      <c r="B12" s="678"/>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5" t="s">
        <v>240</v>
      </c>
      <c r="B13" s="676"/>
      <c r="C13" s="139">
        <v>59</v>
      </c>
      <c r="D13" s="139">
        <v>43</v>
      </c>
      <c r="E13" s="139">
        <v>0</v>
      </c>
      <c r="F13" s="139">
        <v>5</v>
      </c>
      <c r="G13" s="139">
        <v>2</v>
      </c>
      <c r="H13" s="139">
        <v>7</v>
      </c>
      <c r="I13" s="139">
        <v>2</v>
      </c>
      <c r="J13" s="139">
        <v>10</v>
      </c>
      <c r="K13" s="139">
        <v>44</v>
      </c>
      <c r="L13" s="139">
        <v>5</v>
      </c>
      <c r="M13" s="136"/>
      <c r="N13" s="137"/>
    </row>
    <row r="14" spans="1:37" s="52" customFormat="1" ht="16.5" customHeight="1">
      <c r="A14" s="694" t="s">
        <v>30</v>
      </c>
      <c r="B14" s="69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09" t="s">
        <v>344</v>
      </c>
      <c r="B29" s="698"/>
      <c r="C29" s="698"/>
      <c r="D29" s="698"/>
      <c r="E29" s="158"/>
      <c r="F29" s="158"/>
      <c r="G29" s="158"/>
      <c r="H29" s="684" t="s">
        <v>294</v>
      </c>
      <c r="I29" s="684"/>
      <c r="J29" s="684"/>
      <c r="K29" s="684"/>
      <c r="L29" s="684"/>
      <c r="M29" s="159"/>
    </row>
    <row r="30" spans="1:12" ht="18.75">
      <c r="A30" s="698"/>
      <c r="B30" s="698"/>
      <c r="C30" s="698"/>
      <c r="D30" s="698"/>
      <c r="E30" s="158"/>
      <c r="F30" s="158"/>
      <c r="G30" s="158"/>
      <c r="H30" s="685" t="s">
        <v>295</v>
      </c>
      <c r="I30" s="685"/>
      <c r="J30" s="685"/>
      <c r="K30" s="685"/>
      <c r="L30" s="685"/>
    </row>
    <row r="31" spans="1:12" s="32" customFormat="1" ht="16.5" customHeight="1">
      <c r="A31" s="606"/>
      <c r="B31" s="606"/>
      <c r="C31" s="606"/>
      <c r="D31" s="606"/>
      <c r="E31" s="160"/>
      <c r="F31" s="160"/>
      <c r="G31" s="160"/>
      <c r="H31" s="607"/>
      <c r="I31" s="607"/>
      <c r="J31" s="607"/>
      <c r="K31" s="607"/>
      <c r="L31" s="607"/>
    </row>
    <row r="32" spans="1:12" ht="18.75">
      <c r="A32" s="89"/>
      <c r="B32" s="606" t="s">
        <v>276</v>
      </c>
      <c r="C32" s="606"/>
      <c r="D32" s="606"/>
      <c r="E32" s="160"/>
      <c r="F32" s="160"/>
      <c r="G32" s="160"/>
      <c r="H32" s="160"/>
      <c r="I32" s="680" t="s">
        <v>276</v>
      </c>
      <c r="J32" s="680"/>
      <c r="K32" s="68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9" t="s">
        <v>229</v>
      </c>
      <c r="B37" s="619"/>
      <c r="C37" s="619"/>
      <c r="D37" s="619"/>
      <c r="E37" s="91"/>
      <c r="F37" s="91"/>
      <c r="G37" s="91"/>
      <c r="H37" s="620" t="s">
        <v>229</v>
      </c>
      <c r="I37" s="620"/>
      <c r="J37" s="620"/>
      <c r="K37" s="620"/>
      <c r="L37" s="620"/>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93" t="s">
        <v>46</v>
      </c>
      <c r="C40" s="693"/>
      <c r="D40" s="693"/>
      <c r="E40" s="693"/>
      <c r="F40" s="693"/>
      <c r="G40" s="693"/>
      <c r="H40" s="693"/>
      <c r="I40" s="693"/>
      <c r="J40" s="693"/>
      <c r="K40" s="693"/>
      <c r="L40" s="693"/>
    </row>
    <row r="41" spans="1:12" ht="16.5" customHeight="1">
      <c r="A41" s="165"/>
      <c r="B41" s="692" t="s">
        <v>48</v>
      </c>
      <c r="C41" s="692"/>
      <c r="D41" s="692"/>
      <c r="E41" s="692"/>
      <c r="F41" s="692"/>
      <c r="G41" s="692"/>
      <c r="H41" s="692"/>
      <c r="I41" s="692"/>
      <c r="J41" s="692"/>
      <c r="K41" s="692"/>
      <c r="L41" s="692"/>
    </row>
    <row r="42" ht="15.75">
      <c r="B42" s="38" t="s">
        <v>47</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15" t="s">
        <v>117</v>
      </c>
      <c r="B1" s="715"/>
      <c r="C1" s="715"/>
      <c r="D1" s="710" t="s">
        <v>298</v>
      </c>
      <c r="E1" s="711"/>
      <c r="F1" s="711"/>
      <c r="G1" s="711"/>
      <c r="H1" s="711"/>
      <c r="I1" s="711"/>
      <c r="J1" s="711"/>
      <c r="K1" s="711"/>
      <c r="L1" s="711"/>
      <c r="M1" s="711"/>
      <c r="N1" s="711"/>
      <c r="O1" s="212"/>
      <c r="P1" s="169" t="s">
        <v>348</v>
      </c>
      <c r="Q1" s="168"/>
      <c r="R1" s="168"/>
      <c r="S1" s="168"/>
      <c r="T1" s="168"/>
      <c r="U1" s="212"/>
    </row>
    <row r="2" spans="1:21" ht="16.5" customHeight="1">
      <c r="A2" s="712" t="s">
        <v>299</v>
      </c>
      <c r="B2" s="712"/>
      <c r="C2" s="712"/>
      <c r="D2" s="711"/>
      <c r="E2" s="711"/>
      <c r="F2" s="711"/>
      <c r="G2" s="711"/>
      <c r="H2" s="711"/>
      <c r="I2" s="711"/>
      <c r="J2" s="711"/>
      <c r="K2" s="711"/>
      <c r="L2" s="711"/>
      <c r="M2" s="711"/>
      <c r="N2" s="711"/>
      <c r="O2" s="213"/>
      <c r="P2" s="703" t="s">
        <v>300</v>
      </c>
      <c r="Q2" s="703"/>
      <c r="R2" s="703"/>
      <c r="S2" s="703"/>
      <c r="T2" s="703"/>
      <c r="U2" s="213"/>
    </row>
    <row r="3" spans="1:21" ht="16.5" customHeight="1">
      <c r="A3" s="731" t="s">
        <v>301</v>
      </c>
      <c r="B3" s="731"/>
      <c r="C3" s="731"/>
      <c r="D3" s="716" t="s">
        <v>302</v>
      </c>
      <c r="E3" s="716"/>
      <c r="F3" s="716"/>
      <c r="G3" s="716"/>
      <c r="H3" s="716"/>
      <c r="I3" s="716"/>
      <c r="J3" s="716"/>
      <c r="K3" s="716"/>
      <c r="L3" s="716"/>
      <c r="M3" s="716"/>
      <c r="N3" s="716"/>
      <c r="O3" s="213"/>
      <c r="P3" s="173" t="s">
        <v>347</v>
      </c>
      <c r="Q3" s="213"/>
      <c r="R3" s="213"/>
      <c r="S3" s="213"/>
      <c r="T3" s="213"/>
      <c r="U3" s="213"/>
    </row>
    <row r="4" spans="1:21" ht="16.5" customHeight="1">
      <c r="A4" s="717" t="s">
        <v>241</v>
      </c>
      <c r="B4" s="717"/>
      <c r="C4" s="717"/>
      <c r="D4" s="738"/>
      <c r="E4" s="738"/>
      <c r="F4" s="738"/>
      <c r="G4" s="738"/>
      <c r="H4" s="738"/>
      <c r="I4" s="738"/>
      <c r="J4" s="738"/>
      <c r="K4" s="738"/>
      <c r="L4" s="738"/>
      <c r="M4" s="738"/>
      <c r="N4" s="738"/>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04" t="s">
        <v>53</v>
      </c>
      <c r="B6" s="705"/>
      <c r="C6" s="699" t="s">
        <v>118</v>
      </c>
      <c r="D6" s="713" t="s">
        <v>119</v>
      </c>
      <c r="E6" s="714"/>
      <c r="F6" s="714"/>
      <c r="G6" s="714"/>
      <c r="H6" s="714"/>
      <c r="I6" s="714"/>
      <c r="J6" s="714"/>
      <c r="K6" s="714"/>
      <c r="L6" s="714"/>
      <c r="M6" s="714"/>
      <c r="N6" s="714"/>
      <c r="O6" s="714"/>
      <c r="P6" s="714"/>
      <c r="Q6" s="714"/>
      <c r="R6" s="714"/>
      <c r="S6" s="714"/>
      <c r="T6" s="699" t="s">
        <v>120</v>
      </c>
      <c r="U6" s="216"/>
    </row>
    <row r="7" spans="1:20" s="218" customFormat="1" ht="12.75" customHeight="1">
      <c r="A7" s="706"/>
      <c r="B7" s="707"/>
      <c r="C7" s="699"/>
      <c r="D7" s="735" t="s">
        <v>115</v>
      </c>
      <c r="E7" s="714" t="s">
        <v>7</v>
      </c>
      <c r="F7" s="714"/>
      <c r="G7" s="714"/>
      <c r="H7" s="714"/>
      <c r="I7" s="714"/>
      <c r="J7" s="714"/>
      <c r="K7" s="714"/>
      <c r="L7" s="714"/>
      <c r="M7" s="714"/>
      <c r="N7" s="714"/>
      <c r="O7" s="714"/>
      <c r="P7" s="714"/>
      <c r="Q7" s="714"/>
      <c r="R7" s="714"/>
      <c r="S7" s="714"/>
      <c r="T7" s="699"/>
    </row>
    <row r="8" spans="1:21" s="218" customFormat="1" ht="43.5" customHeight="1">
      <c r="A8" s="706"/>
      <c r="B8" s="707"/>
      <c r="C8" s="699"/>
      <c r="D8" s="736"/>
      <c r="E8" s="702" t="s">
        <v>121</v>
      </c>
      <c r="F8" s="699"/>
      <c r="G8" s="699"/>
      <c r="H8" s="699" t="s">
        <v>122</v>
      </c>
      <c r="I8" s="699"/>
      <c r="J8" s="699"/>
      <c r="K8" s="699" t="s">
        <v>123</v>
      </c>
      <c r="L8" s="699"/>
      <c r="M8" s="699" t="s">
        <v>124</v>
      </c>
      <c r="N8" s="699"/>
      <c r="O8" s="699"/>
      <c r="P8" s="699" t="s">
        <v>125</v>
      </c>
      <c r="Q8" s="699" t="s">
        <v>126</v>
      </c>
      <c r="R8" s="699" t="s">
        <v>127</v>
      </c>
      <c r="S8" s="718" t="s">
        <v>128</v>
      </c>
      <c r="T8" s="699"/>
      <c r="U8" s="728" t="s">
        <v>304</v>
      </c>
    </row>
    <row r="9" spans="1:21" s="218" customFormat="1" ht="44.25" customHeight="1">
      <c r="A9" s="708"/>
      <c r="B9" s="709"/>
      <c r="C9" s="699"/>
      <c r="D9" s="737"/>
      <c r="E9" s="219" t="s">
        <v>129</v>
      </c>
      <c r="F9" s="215" t="s">
        <v>130</v>
      </c>
      <c r="G9" s="215" t="s">
        <v>305</v>
      </c>
      <c r="H9" s="215" t="s">
        <v>131</v>
      </c>
      <c r="I9" s="215" t="s">
        <v>132</v>
      </c>
      <c r="J9" s="215" t="s">
        <v>133</v>
      </c>
      <c r="K9" s="215" t="s">
        <v>130</v>
      </c>
      <c r="L9" s="215" t="s">
        <v>134</v>
      </c>
      <c r="M9" s="215" t="s">
        <v>135</v>
      </c>
      <c r="N9" s="215" t="s">
        <v>136</v>
      </c>
      <c r="O9" s="215" t="s">
        <v>306</v>
      </c>
      <c r="P9" s="699"/>
      <c r="Q9" s="699"/>
      <c r="R9" s="699"/>
      <c r="S9" s="718"/>
      <c r="T9" s="699"/>
      <c r="U9" s="729"/>
    </row>
    <row r="10" spans="1:21" s="222" customFormat="1" ht="15.75" customHeight="1">
      <c r="A10" s="732" t="s">
        <v>6</v>
      </c>
      <c r="B10" s="733"/>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29"/>
    </row>
    <row r="11" spans="1:21" s="222" customFormat="1" ht="15.75" customHeight="1">
      <c r="A11" s="700" t="s">
        <v>284</v>
      </c>
      <c r="B11" s="70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30"/>
    </row>
    <row r="12" spans="1:21" s="222" customFormat="1" ht="15.75" customHeight="1">
      <c r="A12" s="719" t="s">
        <v>285</v>
      </c>
      <c r="B12" s="72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5" t="s">
        <v>30</v>
      </c>
      <c r="B13" s="72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34" t="s">
        <v>272</v>
      </c>
      <c r="C28" s="734"/>
      <c r="D28" s="734"/>
      <c r="E28" s="734"/>
      <c r="F28" s="181"/>
      <c r="G28" s="181"/>
      <c r="H28" s="181"/>
      <c r="I28" s="181"/>
      <c r="J28" s="181"/>
      <c r="K28" s="181" t="s">
        <v>137</v>
      </c>
      <c r="L28" s="182"/>
      <c r="M28" s="739" t="s">
        <v>307</v>
      </c>
      <c r="N28" s="739"/>
      <c r="O28" s="739"/>
      <c r="P28" s="739"/>
      <c r="Q28" s="739"/>
      <c r="R28" s="739"/>
      <c r="S28" s="739"/>
      <c r="T28" s="739"/>
    </row>
    <row r="29" spans="1:20" s="233" customFormat="1" ht="18.75" customHeight="1">
      <c r="A29" s="232"/>
      <c r="B29" s="724" t="s">
        <v>138</v>
      </c>
      <c r="C29" s="724"/>
      <c r="D29" s="724"/>
      <c r="E29" s="234"/>
      <c r="F29" s="183"/>
      <c r="G29" s="183"/>
      <c r="H29" s="183"/>
      <c r="I29" s="183"/>
      <c r="J29" s="183"/>
      <c r="K29" s="183"/>
      <c r="L29" s="182"/>
      <c r="M29" s="727" t="s">
        <v>296</v>
      </c>
      <c r="N29" s="727"/>
      <c r="O29" s="727"/>
      <c r="P29" s="727"/>
      <c r="Q29" s="727"/>
      <c r="R29" s="727"/>
      <c r="S29" s="727"/>
      <c r="T29" s="727"/>
    </row>
    <row r="30" spans="1:20" s="233" customFormat="1" ht="18.75">
      <c r="A30" s="184"/>
      <c r="B30" s="721"/>
      <c r="C30" s="721"/>
      <c r="D30" s="721"/>
      <c r="E30" s="186"/>
      <c r="F30" s="186"/>
      <c r="G30" s="186"/>
      <c r="H30" s="186"/>
      <c r="I30" s="186"/>
      <c r="J30" s="186"/>
      <c r="K30" s="186"/>
      <c r="L30" s="186"/>
      <c r="M30" s="722"/>
      <c r="N30" s="722"/>
      <c r="O30" s="722"/>
      <c r="P30" s="722"/>
      <c r="Q30" s="722"/>
      <c r="R30" s="722"/>
      <c r="S30" s="722"/>
      <c r="T30" s="72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23" t="s">
        <v>276</v>
      </c>
      <c r="C36" s="723"/>
      <c r="D36" s="723"/>
      <c r="E36" s="236"/>
      <c r="F36" s="236"/>
      <c r="G36" s="236"/>
      <c r="H36" s="236"/>
      <c r="I36" s="236"/>
      <c r="J36" s="236"/>
      <c r="K36" s="236"/>
      <c r="L36" s="236"/>
      <c r="M36" s="236"/>
      <c r="N36" s="723" t="s">
        <v>276</v>
      </c>
      <c r="O36" s="723"/>
      <c r="P36" s="723"/>
      <c r="Q36" s="723"/>
      <c r="R36" s="723"/>
      <c r="S36" s="72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9" t="s">
        <v>229</v>
      </c>
      <c r="C38" s="619"/>
      <c r="D38" s="619"/>
      <c r="E38" s="210"/>
      <c r="F38" s="210"/>
      <c r="G38" s="210"/>
      <c r="H38" s="210"/>
      <c r="I38" s="182"/>
      <c r="J38" s="182"/>
      <c r="K38" s="182"/>
      <c r="L38" s="182"/>
      <c r="M38" s="620" t="s">
        <v>230</v>
      </c>
      <c r="N38" s="620"/>
      <c r="O38" s="620"/>
      <c r="P38" s="620"/>
      <c r="Q38" s="620"/>
      <c r="R38" s="620"/>
      <c r="S38" s="620"/>
      <c r="T38" s="620"/>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2" t="s">
        <v>143</v>
      </c>
      <c r="B1" s="752"/>
      <c r="C1" s="752"/>
      <c r="D1" s="238"/>
      <c r="E1" s="757" t="s">
        <v>144</v>
      </c>
      <c r="F1" s="757"/>
      <c r="G1" s="757"/>
      <c r="H1" s="757"/>
      <c r="I1" s="757"/>
      <c r="J1" s="757"/>
      <c r="K1" s="757"/>
      <c r="L1" s="757"/>
      <c r="M1" s="757"/>
      <c r="N1" s="757"/>
      <c r="O1" s="191"/>
      <c r="P1" s="748" t="s">
        <v>346</v>
      </c>
      <c r="Q1" s="748"/>
      <c r="R1" s="748"/>
      <c r="S1" s="748"/>
      <c r="T1" s="748"/>
    </row>
    <row r="2" spans="1:20" ht="15.75" customHeight="1">
      <c r="A2" s="753" t="s">
        <v>308</v>
      </c>
      <c r="B2" s="753"/>
      <c r="C2" s="753"/>
      <c r="D2" s="753"/>
      <c r="E2" s="755" t="s">
        <v>145</v>
      </c>
      <c r="F2" s="755"/>
      <c r="G2" s="755"/>
      <c r="H2" s="755"/>
      <c r="I2" s="755"/>
      <c r="J2" s="755"/>
      <c r="K2" s="755"/>
      <c r="L2" s="755"/>
      <c r="M2" s="755"/>
      <c r="N2" s="755"/>
      <c r="O2" s="194"/>
      <c r="P2" s="750" t="s">
        <v>288</v>
      </c>
      <c r="Q2" s="750"/>
      <c r="R2" s="750"/>
      <c r="S2" s="750"/>
      <c r="T2" s="750"/>
    </row>
    <row r="3" spans="1:20" ht="17.25">
      <c r="A3" s="753" t="s">
        <v>239</v>
      </c>
      <c r="B3" s="753"/>
      <c r="C3" s="753"/>
      <c r="D3" s="239"/>
      <c r="E3" s="758" t="s">
        <v>240</v>
      </c>
      <c r="F3" s="758"/>
      <c r="G3" s="758"/>
      <c r="H3" s="758"/>
      <c r="I3" s="758"/>
      <c r="J3" s="758"/>
      <c r="K3" s="758"/>
      <c r="L3" s="758"/>
      <c r="M3" s="758"/>
      <c r="N3" s="758"/>
      <c r="O3" s="194"/>
      <c r="P3" s="751" t="s">
        <v>347</v>
      </c>
      <c r="Q3" s="751"/>
      <c r="R3" s="751"/>
      <c r="S3" s="751"/>
      <c r="T3" s="751"/>
    </row>
    <row r="4" spans="1:20" ht="18.75" customHeight="1">
      <c r="A4" s="754" t="s">
        <v>241</v>
      </c>
      <c r="B4" s="754"/>
      <c r="C4" s="754"/>
      <c r="D4" s="756"/>
      <c r="E4" s="756"/>
      <c r="F4" s="756"/>
      <c r="G4" s="756"/>
      <c r="H4" s="756"/>
      <c r="I4" s="756"/>
      <c r="J4" s="756"/>
      <c r="K4" s="756"/>
      <c r="L4" s="756"/>
      <c r="M4" s="756"/>
      <c r="N4" s="756"/>
      <c r="O4" s="195"/>
      <c r="P4" s="750" t="s">
        <v>280</v>
      </c>
      <c r="Q4" s="751"/>
      <c r="R4" s="751"/>
      <c r="S4" s="751"/>
      <c r="T4" s="751"/>
    </row>
    <row r="5" spans="1:23" ht="15">
      <c r="A5" s="208"/>
      <c r="B5" s="208"/>
      <c r="C5" s="240"/>
      <c r="D5" s="240"/>
      <c r="E5" s="208"/>
      <c r="F5" s="208"/>
      <c r="G5" s="208"/>
      <c r="H5" s="208"/>
      <c r="I5" s="208"/>
      <c r="J5" s="208"/>
      <c r="K5" s="208"/>
      <c r="L5" s="208"/>
      <c r="P5" s="747" t="s">
        <v>303</v>
      </c>
      <c r="Q5" s="747"/>
      <c r="R5" s="747"/>
      <c r="S5" s="747"/>
      <c r="T5" s="747"/>
      <c r="U5" s="241"/>
      <c r="V5" s="241"/>
      <c r="W5" s="241"/>
    </row>
    <row r="6" spans="1:23" ht="29.25" customHeight="1">
      <c r="A6" s="704" t="s">
        <v>53</v>
      </c>
      <c r="B6" s="780"/>
      <c r="C6" s="775" t="s">
        <v>2</v>
      </c>
      <c r="D6" s="742" t="s">
        <v>146</v>
      </c>
      <c r="E6" s="743"/>
      <c r="F6" s="743"/>
      <c r="G6" s="743"/>
      <c r="H6" s="743"/>
      <c r="I6" s="743"/>
      <c r="J6" s="744"/>
      <c r="K6" s="759" t="s">
        <v>147</v>
      </c>
      <c r="L6" s="760"/>
      <c r="M6" s="760"/>
      <c r="N6" s="760"/>
      <c r="O6" s="760"/>
      <c r="P6" s="760"/>
      <c r="Q6" s="760"/>
      <c r="R6" s="760"/>
      <c r="S6" s="760"/>
      <c r="T6" s="761"/>
      <c r="U6" s="242"/>
      <c r="V6" s="243"/>
      <c r="W6" s="243"/>
    </row>
    <row r="7" spans="1:20" ht="19.5" customHeight="1">
      <c r="A7" s="706"/>
      <c r="B7" s="781"/>
      <c r="C7" s="776"/>
      <c r="D7" s="743" t="s">
        <v>7</v>
      </c>
      <c r="E7" s="743"/>
      <c r="F7" s="743"/>
      <c r="G7" s="743"/>
      <c r="H7" s="743"/>
      <c r="I7" s="743"/>
      <c r="J7" s="744"/>
      <c r="K7" s="762"/>
      <c r="L7" s="763"/>
      <c r="M7" s="763"/>
      <c r="N7" s="763"/>
      <c r="O7" s="763"/>
      <c r="P7" s="763"/>
      <c r="Q7" s="763"/>
      <c r="R7" s="763"/>
      <c r="S7" s="763"/>
      <c r="T7" s="764"/>
    </row>
    <row r="8" spans="1:20" ht="33" customHeight="1">
      <c r="A8" s="706"/>
      <c r="B8" s="781"/>
      <c r="C8" s="776"/>
      <c r="D8" s="745" t="s">
        <v>148</v>
      </c>
      <c r="E8" s="746"/>
      <c r="F8" s="741" t="s">
        <v>149</v>
      </c>
      <c r="G8" s="746"/>
      <c r="H8" s="741" t="s">
        <v>150</v>
      </c>
      <c r="I8" s="746"/>
      <c r="J8" s="741" t="s">
        <v>151</v>
      </c>
      <c r="K8" s="740" t="s">
        <v>152</v>
      </c>
      <c r="L8" s="740"/>
      <c r="M8" s="740"/>
      <c r="N8" s="740" t="s">
        <v>153</v>
      </c>
      <c r="O8" s="740"/>
      <c r="P8" s="740"/>
      <c r="Q8" s="741" t="s">
        <v>154</v>
      </c>
      <c r="R8" s="749" t="s">
        <v>155</v>
      </c>
      <c r="S8" s="749" t="s">
        <v>156</v>
      </c>
      <c r="T8" s="741" t="s">
        <v>157</v>
      </c>
    </row>
    <row r="9" spans="1:20" ht="18.75" customHeight="1">
      <c r="A9" s="706"/>
      <c r="B9" s="781"/>
      <c r="C9" s="776"/>
      <c r="D9" s="745" t="s">
        <v>158</v>
      </c>
      <c r="E9" s="741" t="s">
        <v>159</v>
      </c>
      <c r="F9" s="741" t="s">
        <v>158</v>
      </c>
      <c r="G9" s="741" t="s">
        <v>159</v>
      </c>
      <c r="H9" s="741" t="s">
        <v>158</v>
      </c>
      <c r="I9" s="741" t="s">
        <v>160</v>
      </c>
      <c r="J9" s="741"/>
      <c r="K9" s="740"/>
      <c r="L9" s="740"/>
      <c r="M9" s="740"/>
      <c r="N9" s="740"/>
      <c r="O9" s="740"/>
      <c r="P9" s="740"/>
      <c r="Q9" s="741"/>
      <c r="R9" s="749"/>
      <c r="S9" s="749"/>
      <c r="T9" s="741"/>
    </row>
    <row r="10" spans="1:20" ht="23.25" customHeight="1">
      <c r="A10" s="708"/>
      <c r="B10" s="782"/>
      <c r="C10" s="777"/>
      <c r="D10" s="745"/>
      <c r="E10" s="741"/>
      <c r="F10" s="741"/>
      <c r="G10" s="741"/>
      <c r="H10" s="741"/>
      <c r="I10" s="741"/>
      <c r="J10" s="741"/>
      <c r="K10" s="244" t="s">
        <v>161</v>
      </c>
      <c r="L10" s="244" t="s">
        <v>136</v>
      </c>
      <c r="M10" s="244" t="s">
        <v>162</v>
      </c>
      <c r="N10" s="244" t="s">
        <v>161</v>
      </c>
      <c r="O10" s="244" t="s">
        <v>163</v>
      </c>
      <c r="P10" s="244" t="s">
        <v>164</v>
      </c>
      <c r="Q10" s="741"/>
      <c r="R10" s="749"/>
      <c r="S10" s="749"/>
      <c r="T10" s="741"/>
    </row>
    <row r="11" spans="1:32" s="201" customFormat="1" ht="17.25" customHeight="1">
      <c r="A11" s="778" t="s">
        <v>6</v>
      </c>
      <c r="B11" s="77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65" t="s">
        <v>309</v>
      </c>
      <c r="B12" s="766"/>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70" t="s">
        <v>285</v>
      </c>
      <c r="B13" s="77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74" t="s">
        <v>165</v>
      </c>
      <c r="B14" s="745"/>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68" t="s">
        <v>297</v>
      </c>
      <c r="C29" s="768"/>
      <c r="D29" s="768"/>
      <c r="E29" s="768"/>
      <c r="F29" s="258"/>
      <c r="G29" s="258"/>
      <c r="H29" s="258"/>
      <c r="I29" s="258"/>
      <c r="J29" s="258"/>
      <c r="K29" s="258"/>
      <c r="L29" s="206"/>
      <c r="M29" s="767" t="s">
        <v>310</v>
      </c>
      <c r="N29" s="767"/>
      <c r="O29" s="767"/>
      <c r="P29" s="767"/>
      <c r="Q29" s="767"/>
      <c r="R29" s="767"/>
      <c r="S29" s="767"/>
      <c r="T29" s="767"/>
    </row>
    <row r="30" spans="1:20" ht="18.75" customHeight="1">
      <c r="A30" s="202"/>
      <c r="B30" s="769" t="s">
        <v>138</v>
      </c>
      <c r="C30" s="769"/>
      <c r="D30" s="769"/>
      <c r="E30" s="769"/>
      <c r="F30" s="205"/>
      <c r="G30" s="205"/>
      <c r="H30" s="205"/>
      <c r="I30" s="205"/>
      <c r="J30" s="205"/>
      <c r="K30" s="205"/>
      <c r="L30" s="206"/>
      <c r="M30" s="773" t="s">
        <v>139</v>
      </c>
      <c r="N30" s="773"/>
      <c r="O30" s="773"/>
      <c r="P30" s="773"/>
      <c r="Q30" s="773"/>
      <c r="R30" s="773"/>
      <c r="S30" s="773"/>
      <c r="T30" s="773"/>
    </row>
    <row r="31" spans="1:20" ht="18.75">
      <c r="A31" s="208"/>
      <c r="B31" s="721"/>
      <c r="C31" s="721"/>
      <c r="D31" s="721"/>
      <c r="E31" s="721"/>
      <c r="F31" s="209"/>
      <c r="G31" s="209"/>
      <c r="H31" s="209"/>
      <c r="I31" s="209"/>
      <c r="J31" s="209"/>
      <c r="K31" s="209"/>
      <c r="L31" s="209"/>
      <c r="M31" s="722"/>
      <c r="N31" s="722"/>
      <c r="O31" s="722"/>
      <c r="P31" s="722"/>
      <c r="Q31" s="722"/>
      <c r="R31" s="722"/>
      <c r="S31" s="722"/>
      <c r="T31" s="72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72" t="s">
        <v>276</v>
      </c>
      <c r="C33" s="772"/>
      <c r="D33" s="772"/>
      <c r="E33" s="772"/>
      <c r="F33" s="772"/>
      <c r="G33" s="259"/>
      <c r="H33" s="259"/>
      <c r="I33" s="259"/>
      <c r="J33" s="259"/>
      <c r="K33" s="259"/>
      <c r="L33" s="259"/>
      <c r="M33" s="259"/>
      <c r="N33" s="772" t="s">
        <v>276</v>
      </c>
      <c r="O33" s="772"/>
      <c r="P33" s="772"/>
      <c r="Q33" s="772"/>
      <c r="R33" s="772"/>
      <c r="S33" s="77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9" t="s">
        <v>229</v>
      </c>
      <c r="C35" s="619"/>
      <c r="D35" s="619"/>
      <c r="E35" s="619"/>
      <c r="F35" s="210"/>
      <c r="G35" s="210"/>
      <c r="H35" s="210"/>
      <c r="I35" s="182"/>
      <c r="J35" s="182"/>
      <c r="K35" s="182"/>
      <c r="L35" s="182"/>
      <c r="M35" s="620" t="s">
        <v>230</v>
      </c>
      <c r="N35" s="620"/>
      <c r="O35" s="620"/>
      <c r="P35" s="620"/>
      <c r="Q35" s="620"/>
      <c r="R35" s="620"/>
      <c r="S35" s="620"/>
      <c r="T35" s="620"/>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N33:S33"/>
    <mergeCell ref="A14:B14"/>
    <mergeCell ref="C6:C10"/>
    <mergeCell ref="E9:E10"/>
    <mergeCell ref="A11:B11"/>
    <mergeCell ref="F9:F10"/>
    <mergeCell ref="D8:E8"/>
    <mergeCell ref="A6:B10"/>
    <mergeCell ref="H8:I8"/>
    <mergeCell ref="D7:J7"/>
    <mergeCell ref="A12:B12"/>
    <mergeCell ref="M35:T35"/>
    <mergeCell ref="M29:T29"/>
    <mergeCell ref="B35:E35"/>
    <mergeCell ref="B29:E29"/>
    <mergeCell ref="B30:E30"/>
    <mergeCell ref="A13:B13"/>
    <mergeCell ref="B33:F33"/>
    <mergeCell ref="M30:T30"/>
    <mergeCell ref="M31:T31"/>
    <mergeCell ref="B31:E31"/>
    <mergeCell ref="A1:C1"/>
    <mergeCell ref="A3:C3"/>
    <mergeCell ref="A4:C4"/>
    <mergeCell ref="E2:N2"/>
    <mergeCell ref="A2:D2"/>
    <mergeCell ref="D4:N4"/>
    <mergeCell ref="E1:N1"/>
    <mergeCell ref="E3:N3"/>
    <mergeCell ref="K6:T7"/>
    <mergeCell ref="P5:T5"/>
    <mergeCell ref="P1:T1"/>
    <mergeCell ref="S8:S10"/>
    <mergeCell ref="N8:P9"/>
    <mergeCell ref="Q8:Q10"/>
    <mergeCell ref="T8:T10"/>
    <mergeCell ref="R8:R10"/>
    <mergeCell ref="P2:T2"/>
    <mergeCell ref="P3:T3"/>
    <mergeCell ref="P4:T4"/>
    <mergeCell ref="K8:M9"/>
    <mergeCell ref="J8:J10"/>
    <mergeCell ref="H9:H10"/>
    <mergeCell ref="G9:G10"/>
    <mergeCell ref="I9:I10"/>
    <mergeCell ref="D6:J6"/>
    <mergeCell ref="D9:D10"/>
    <mergeCell ref="F8:G8"/>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9" t="s">
        <v>168</v>
      </c>
      <c r="B1" s="789"/>
      <c r="C1" s="789"/>
      <c r="D1" s="792" t="s">
        <v>349</v>
      </c>
      <c r="E1" s="792"/>
      <c r="F1" s="792"/>
      <c r="G1" s="792"/>
      <c r="H1" s="792"/>
      <c r="I1" s="792"/>
      <c r="J1" s="793" t="s">
        <v>350</v>
      </c>
      <c r="K1" s="794"/>
      <c r="L1" s="794"/>
    </row>
    <row r="2" spans="1:12" ht="34.5" customHeight="1">
      <c r="A2" s="795" t="s">
        <v>311</v>
      </c>
      <c r="B2" s="795"/>
      <c r="C2" s="795"/>
      <c r="D2" s="792"/>
      <c r="E2" s="792"/>
      <c r="F2" s="792"/>
      <c r="G2" s="792"/>
      <c r="H2" s="792"/>
      <c r="I2" s="792"/>
      <c r="J2" s="796" t="s">
        <v>351</v>
      </c>
      <c r="K2" s="797"/>
      <c r="L2" s="797"/>
    </row>
    <row r="3" spans="1:12" ht="15" customHeight="1">
      <c r="A3" s="265" t="s">
        <v>241</v>
      </c>
      <c r="B3" s="174"/>
      <c r="C3" s="798"/>
      <c r="D3" s="798"/>
      <c r="E3" s="798"/>
      <c r="F3" s="798"/>
      <c r="G3" s="798"/>
      <c r="H3" s="798"/>
      <c r="I3" s="798"/>
      <c r="J3" s="790"/>
      <c r="K3" s="791"/>
      <c r="L3" s="791"/>
    </row>
    <row r="4" spans="1:12" ht="15.75" customHeight="1">
      <c r="A4" s="266"/>
      <c r="B4" s="266"/>
      <c r="C4" s="267"/>
      <c r="D4" s="267"/>
      <c r="E4" s="170"/>
      <c r="F4" s="170"/>
      <c r="G4" s="170"/>
      <c r="H4" s="268"/>
      <c r="I4" s="268"/>
      <c r="J4" s="799" t="s">
        <v>169</v>
      </c>
      <c r="K4" s="799"/>
      <c r="L4" s="799"/>
    </row>
    <row r="5" spans="1:12" s="269" customFormat="1" ht="28.5" customHeight="1">
      <c r="A5" s="784" t="s">
        <v>53</v>
      </c>
      <c r="B5" s="784"/>
      <c r="C5" s="699" t="s">
        <v>31</v>
      </c>
      <c r="D5" s="699" t="s">
        <v>170</v>
      </c>
      <c r="E5" s="699"/>
      <c r="F5" s="699"/>
      <c r="G5" s="699"/>
      <c r="H5" s="699" t="s">
        <v>171</v>
      </c>
      <c r="I5" s="699"/>
      <c r="J5" s="699" t="s">
        <v>172</v>
      </c>
      <c r="K5" s="699"/>
      <c r="L5" s="699"/>
    </row>
    <row r="6" spans="1:13" s="269" customFormat="1" ht="80.25" customHeight="1">
      <c r="A6" s="784"/>
      <c r="B6" s="784"/>
      <c r="C6" s="699"/>
      <c r="D6" s="215" t="s">
        <v>173</v>
      </c>
      <c r="E6" s="215" t="s">
        <v>174</v>
      </c>
      <c r="F6" s="215" t="s">
        <v>312</v>
      </c>
      <c r="G6" s="215" t="s">
        <v>175</v>
      </c>
      <c r="H6" s="215" t="s">
        <v>176</v>
      </c>
      <c r="I6" s="215" t="s">
        <v>177</v>
      </c>
      <c r="J6" s="215" t="s">
        <v>178</v>
      </c>
      <c r="K6" s="215" t="s">
        <v>179</v>
      </c>
      <c r="L6" s="215" t="s">
        <v>180</v>
      </c>
      <c r="M6" s="270"/>
    </row>
    <row r="7" spans="1:12" s="271" customFormat="1" ht="16.5" customHeight="1">
      <c r="A7" s="800" t="s">
        <v>6</v>
      </c>
      <c r="B7" s="800"/>
      <c r="C7" s="221">
        <v>1</v>
      </c>
      <c r="D7" s="221">
        <v>2</v>
      </c>
      <c r="E7" s="221">
        <v>3</v>
      </c>
      <c r="F7" s="221">
        <v>4</v>
      </c>
      <c r="G7" s="221">
        <v>5</v>
      </c>
      <c r="H7" s="221">
        <v>6</v>
      </c>
      <c r="I7" s="221">
        <v>7</v>
      </c>
      <c r="J7" s="221">
        <v>8</v>
      </c>
      <c r="K7" s="221">
        <v>9</v>
      </c>
      <c r="L7" s="221">
        <v>10</v>
      </c>
    </row>
    <row r="8" spans="1:12" s="271" customFormat="1" ht="16.5" customHeight="1">
      <c r="A8" s="787" t="s">
        <v>309</v>
      </c>
      <c r="B8" s="78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85" t="s">
        <v>285</v>
      </c>
      <c r="B9" s="786"/>
      <c r="C9" s="224">
        <v>9</v>
      </c>
      <c r="D9" s="224">
        <v>2</v>
      </c>
      <c r="E9" s="224">
        <v>2</v>
      </c>
      <c r="F9" s="224">
        <v>0</v>
      </c>
      <c r="G9" s="224">
        <v>5</v>
      </c>
      <c r="H9" s="224">
        <v>8</v>
      </c>
      <c r="I9" s="224">
        <v>0</v>
      </c>
      <c r="J9" s="224">
        <v>8</v>
      </c>
      <c r="K9" s="224">
        <v>1</v>
      </c>
      <c r="L9" s="224">
        <v>0</v>
      </c>
    </row>
    <row r="10" spans="1:12" s="271" customFormat="1" ht="16.5" customHeight="1">
      <c r="A10" s="801" t="s">
        <v>165</v>
      </c>
      <c r="B10" s="80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34" t="s">
        <v>314</v>
      </c>
      <c r="B25" s="734"/>
      <c r="C25" s="734"/>
      <c r="D25" s="734"/>
      <c r="E25" s="182"/>
      <c r="F25" s="739" t="s">
        <v>272</v>
      </c>
      <c r="G25" s="739"/>
      <c r="H25" s="739"/>
      <c r="I25" s="739"/>
      <c r="J25" s="739"/>
      <c r="K25" s="739"/>
      <c r="L25" s="739"/>
      <c r="AJ25" s="190" t="s">
        <v>270</v>
      </c>
    </row>
    <row r="26" spans="1:44" ht="15" customHeight="1">
      <c r="A26" s="724" t="s">
        <v>138</v>
      </c>
      <c r="B26" s="724"/>
      <c r="C26" s="724"/>
      <c r="D26" s="724"/>
      <c r="E26" s="183"/>
      <c r="F26" s="727" t="s">
        <v>139</v>
      </c>
      <c r="G26" s="727"/>
      <c r="H26" s="727"/>
      <c r="I26" s="727"/>
      <c r="J26" s="727"/>
      <c r="K26" s="727"/>
      <c r="L26" s="727"/>
      <c r="AR26" s="190"/>
    </row>
    <row r="27" spans="1:12" s="170" customFormat="1" ht="18.75">
      <c r="A27" s="721"/>
      <c r="B27" s="721"/>
      <c r="C27" s="721"/>
      <c r="D27" s="721"/>
      <c r="E27" s="182"/>
      <c r="F27" s="722"/>
      <c r="G27" s="722"/>
      <c r="H27" s="722"/>
      <c r="I27" s="722"/>
      <c r="J27" s="722"/>
      <c r="K27" s="722"/>
      <c r="L27" s="722"/>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3" t="s">
        <v>276</v>
      </c>
      <c r="C29" s="783"/>
      <c r="D29" s="182"/>
      <c r="E29" s="182"/>
      <c r="F29" s="182"/>
      <c r="G29" s="182"/>
      <c r="H29" s="783" t="s">
        <v>276</v>
      </c>
      <c r="I29" s="783"/>
      <c r="J29" s="78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9" t="s">
        <v>229</v>
      </c>
      <c r="B37" s="619"/>
      <c r="C37" s="619"/>
      <c r="D37" s="619"/>
      <c r="E37" s="210"/>
      <c r="F37" s="620" t="s">
        <v>230</v>
      </c>
      <c r="G37" s="620"/>
      <c r="H37" s="620"/>
      <c r="I37" s="620"/>
      <c r="J37" s="620"/>
      <c r="K37" s="620"/>
      <c r="L37" s="620"/>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2" t="s">
        <v>186</v>
      </c>
      <c r="B1" s="802"/>
      <c r="C1" s="802"/>
      <c r="D1" s="792" t="s">
        <v>352</v>
      </c>
      <c r="E1" s="792"/>
      <c r="F1" s="792"/>
      <c r="G1" s="792"/>
      <c r="H1" s="792"/>
      <c r="I1" s="170"/>
      <c r="J1" s="171" t="s">
        <v>346</v>
      </c>
      <c r="K1" s="280"/>
      <c r="L1" s="280"/>
    </row>
    <row r="2" spans="1:12" ht="15.75" customHeight="1">
      <c r="A2" s="806" t="s">
        <v>287</v>
      </c>
      <c r="B2" s="806"/>
      <c r="C2" s="806"/>
      <c r="D2" s="792"/>
      <c r="E2" s="792"/>
      <c r="F2" s="792"/>
      <c r="G2" s="792"/>
      <c r="H2" s="792"/>
      <c r="I2" s="170"/>
      <c r="J2" s="281" t="s">
        <v>288</v>
      </c>
      <c r="K2" s="281"/>
      <c r="L2" s="281"/>
    </row>
    <row r="3" spans="1:12" ht="18.75" customHeight="1">
      <c r="A3" s="712" t="s">
        <v>239</v>
      </c>
      <c r="B3" s="712"/>
      <c r="C3" s="712"/>
      <c r="D3" s="167"/>
      <c r="E3" s="167"/>
      <c r="F3" s="167"/>
      <c r="G3" s="167"/>
      <c r="H3" s="167"/>
      <c r="I3" s="170"/>
      <c r="J3" s="174" t="s">
        <v>345</v>
      </c>
      <c r="K3" s="174"/>
      <c r="L3" s="174"/>
    </row>
    <row r="4" spans="1:12" ht="15.75" customHeight="1">
      <c r="A4" s="803" t="s">
        <v>315</v>
      </c>
      <c r="B4" s="803"/>
      <c r="C4" s="803"/>
      <c r="D4" s="818"/>
      <c r="E4" s="818"/>
      <c r="F4" s="818"/>
      <c r="G4" s="818"/>
      <c r="H4" s="818"/>
      <c r="I4" s="170"/>
      <c r="J4" s="282" t="s">
        <v>280</v>
      </c>
      <c r="K4" s="282"/>
      <c r="L4" s="282"/>
    </row>
    <row r="5" spans="1:12" ht="15.75">
      <c r="A5" s="807"/>
      <c r="B5" s="807"/>
      <c r="C5" s="166"/>
      <c r="D5" s="170"/>
      <c r="E5" s="170"/>
      <c r="F5" s="170"/>
      <c r="G5" s="170"/>
      <c r="H5" s="283"/>
      <c r="I5" s="819" t="s">
        <v>316</v>
      </c>
      <c r="J5" s="819"/>
      <c r="K5" s="819"/>
      <c r="L5" s="819"/>
    </row>
    <row r="6" spans="1:12" ht="18.75" customHeight="1">
      <c r="A6" s="704" t="s">
        <v>53</v>
      </c>
      <c r="B6" s="705"/>
      <c r="C6" s="814" t="s">
        <v>187</v>
      </c>
      <c r="D6" s="725" t="s">
        <v>188</v>
      </c>
      <c r="E6" s="817"/>
      <c r="F6" s="726"/>
      <c r="G6" s="725" t="s">
        <v>189</v>
      </c>
      <c r="H6" s="817"/>
      <c r="I6" s="817"/>
      <c r="J6" s="817"/>
      <c r="K6" s="817"/>
      <c r="L6" s="726"/>
    </row>
    <row r="7" spans="1:12" ht="15.75" customHeight="1">
      <c r="A7" s="706"/>
      <c r="B7" s="707"/>
      <c r="C7" s="816"/>
      <c r="D7" s="725" t="s">
        <v>7</v>
      </c>
      <c r="E7" s="817"/>
      <c r="F7" s="726"/>
      <c r="G7" s="814" t="s">
        <v>30</v>
      </c>
      <c r="H7" s="725" t="s">
        <v>7</v>
      </c>
      <c r="I7" s="817"/>
      <c r="J7" s="817"/>
      <c r="K7" s="817"/>
      <c r="L7" s="726"/>
    </row>
    <row r="8" spans="1:12" ht="14.25" customHeight="1">
      <c r="A8" s="706"/>
      <c r="B8" s="707"/>
      <c r="C8" s="816"/>
      <c r="D8" s="814" t="s">
        <v>190</v>
      </c>
      <c r="E8" s="814" t="s">
        <v>191</v>
      </c>
      <c r="F8" s="814" t="s">
        <v>192</v>
      </c>
      <c r="G8" s="816"/>
      <c r="H8" s="814" t="s">
        <v>193</v>
      </c>
      <c r="I8" s="814" t="s">
        <v>194</v>
      </c>
      <c r="J8" s="814" t="s">
        <v>195</v>
      </c>
      <c r="K8" s="814" t="s">
        <v>196</v>
      </c>
      <c r="L8" s="814" t="s">
        <v>197</v>
      </c>
    </row>
    <row r="9" spans="1:12" ht="77.25" customHeight="1">
      <c r="A9" s="708"/>
      <c r="B9" s="709"/>
      <c r="C9" s="815"/>
      <c r="D9" s="815"/>
      <c r="E9" s="815"/>
      <c r="F9" s="815"/>
      <c r="G9" s="815"/>
      <c r="H9" s="815"/>
      <c r="I9" s="815"/>
      <c r="J9" s="815"/>
      <c r="K9" s="815"/>
      <c r="L9" s="815"/>
    </row>
    <row r="10" spans="1:12" s="271" customFormat="1" ht="16.5" customHeight="1">
      <c r="A10" s="808" t="s">
        <v>6</v>
      </c>
      <c r="B10" s="809"/>
      <c r="C10" s="220">
        <v>1</v>
      </c>
      <c r="D10" s="220">
        <v>2</v>
      </c>
      <c r="E10" s="220">
        <v>3</v>
      </c>
      <c r="F10" s="220">
        <v>4</v>
      </c>
      <c r="G10" s="220">
        <v>5</v>
      </c>
      <c r="H10" s="220">
        <v>6</v>
      </c>
      <c r="I10" s="220">
        <v>7</v>
      </c>
      <c r="J10" s="220">
        <v>8</v>
      </c>
      <c r="K10" s="221" t="s">
        <v>59</v>
      </c>
      <c r="L10" s="221" t="s">
        <v>79</v>
      </c>
    </row>
    <row r="11" spans="1:12" s="271" customFormat="1" ht="16.5" customHeight="1">
      <c r="A11" s="812" t="s">
        <v>284</v>
      </c>
      <c r="B11" s="81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0" t="s">
        <v>285</v>
      </c>
      <c r="B12" s="811"/>
      <c r="C12" s="224">
        <v>12</v>
      </c>
      <c r="D12" s="224">
        <v>0</v>
      </c>
      <c r="E12" s="224">
        <v>1</v>
      </c>
      <c r="F12" s="224">
        <v>11</v>
      </c>
      <c r="G12" s="224">
        <v>10</v>
      </c>
      <c r="H12" s="224">
        <v>0</v>
      </c>
      <c r="I12" s="224">
        <v>0</v>
      </c>
      <c r="J12" s="224">
        <v>0</v>
      </c>
      <c r="K12" s="224">
        <v>6</v>
      </c>
      <c r="L12" s="224">
        <v>4</v>
      </c>
    </row>
    <row r="13" spans="1:32" s="271" customFormat="1" ht="16.5" customHeight="1">
      <c r="A13" s="804" t="s">
        <v>30</v>
      </c>
      <c r="B13" s="80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34" t="s">
        <v>272</v>
      </c>
      <c r="B28" s="734"/>
      <c r="C28" s="734"/>
      <c r="D28" s="734"/>
      <c r="E28" s="734"/>
      <c r="F28" s="182"/>
      <c r="G28" s="181"/>
      <c r="H28" s="294" t="s">
        <v>317</v>
      </c>
      <c r="I28" s="295"/>
      <c r="J28" s="295"/>
      <c r="K28" s="295"/>
      <c r="L28" s="295"/>
      <c r="AG28" s="233" t="s">
        <v>273</v>
      </c>
      <c r="AI28" s="190">
        <f>82/88</f>
        <v>0.9318181818181818</v>
      </c>
    </row>
    <row r="29" spans="1:12" ht="15" customHeight="1">
      <c r="A29" s="724" t="s">
        <v>4</v>
      </c>
      <c r="B29" s="724"/>
      <c r="C29" s="724"/>
      <c r="D29" s="724"/>
      <c r="E29" s="724"/>
      <c r="F29" s="182"/>
      <c r="G29" s="183"/>
      <c r="H29" s="727" t="s">
        <v>139</v>
      </c>
      <c r="I29" s="727"/>
      <c r="J29" s="727"/>
      <c r="K29" s="727"/>
      <c r="L29" s="727"/>
    </row>
    <row r="30" spans="1:14" s="170" customFormat="1" ht="18.75">
      <c r="A30" s="721"/>
      <c r="B30" s="721"/>
      <c r="C30" s="721"/>
      <c r="D30" s="721"/>
      <c r="E30" s="721"/>
      <c r="F30" s="296"/>
      <c r="G30" s="182"/>
      <c r="H30" s="722"/>
      <c r="I30" s="722"/>
      <c r="J30" s="722"/>
      <c r="K30" s="722"/>
      <c r="L30" s="722"/>
      <c r="M30" s="297"/>
      <c r="N30" s="297"/>
    </row>
    <row r="31" spans="1:12" ht="18">
      <c r="A31" s="182"/>
      <c r="B31" s="182"/>
      <c r="C31" s="182"/>
      <c r="D31" s="182"/>
      <c r="E31" s="182"/>
      <c r="F31" s="182"/>
      <c r="G31" s="182"/>
      <c r="H31" s="182"/>
      <c r="I31" s="182"/>
      <c r="J31" s="182"/>
      <c r="K31" s="182"/>
      <c r="L31" s="298"/>
    </row>
    <row r="32" spans="1:12" ht="18">
      <c r="A32" s="182"/>
      <c r="B32" s="783" t="s">
        <v>276</v>
      </c>
      <c r="C32" s="783"/>
      <c r="D32" s="783"/>
      <c r="E32" s="783"/>
      <c r="F32" s="182"/>
      <c r="G32" s="182"/>
      <c r="H32" s="182"/>
      <c r="I32" s="783" t="s">
        <v>276</v>
      </c>
      <c r="J32" s="783"/>
      <c r="K32" s="783"/>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20" t="s">
        <v>198</v>
      </c>
      <c r="C40" s="820"/>
      <c r="D40" s="820"/>
      <c r="E40" s="820"/>
      <c r="F40" s="820"/>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619" t="s">
        <v>318</v>
      </c>
      <c r="B43" s="619"/>
      <c r="C43" s="619"/>
      <c r="D43" s="619"/>
      <c r="E43" s="619"/>
      <c r="F43" s="182"/>
      <c r="G43" s="301"/>
      <c r="H43" s="620" t="s">
        <v>230</v>
      </c>
      <c r="I43" s="620"/>
      <c r="J43" s="620"/>
      <c r="K43" s="620"/>
      <c r="L43" s="620"/>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15" t="s">
        <v>201</v>
      </c>
      <c r="B1" s="715"/>
      <c r="C1" s="715"/>
      <c r="D1" s="715"/>
      <c r="E1" s="306"/>
      <c r="F1" s="710" t="s">
        <v>353</v>
      </c>
      <c r="G1" s="710"/>
      <c r="H1" s="710"/>
      <c r="I1" s="710"/>
      <c r="J1" s="710"/>
      <c r="K1" s="710"/>
      <c r="L1" s="710"/>
      <c r="M1" s="710"/>
      <c r="N1" s="710"/>
      <c r="O1" s="710"/>
      <c r="P1" s="307" t="s">
        <v>277</v>
      </c>
      <c r="Q1" s="308"/>
      <c r="R1" s="308"/>
      <c r="S1" s="308"/>
      <c r="T1" s="308"/>
    </row>
    <row r="2" spans="1:20" s="177" customFormat="1" ht="20.25" customHeight="1">
      <c r="A2" s="833" t="s">
        <v>287</v>
      </c>
      <c r="B2" s="833"/>
      <c r="C2" s="833"/>
      <c r="D2" s="833"/>
      <c r="E2" s="306"/>
      <c r="F2" s="710"/>
      <c r="G2" s="710"/>
      <c r="H2" s="710"/>
      <c r="I2" s="710"/>
      <c r="J2" s="710"/>
      <c r="K2" s="710"/>
      <c r="L2" s="710"/>
      <c r="M2" s="710"/>
      <c r="N2" s="710"/>
      <c r="O2" s="710"/>
      <c r="P2" s="308" t="s">
        <v>319</v>
      </c>
      <c r="Q2" s="308"/>
      <c r="R2" s="308"/>
      <c r="S2" s="308"/>
      <c r="T2" s="308"/>
    </row>
    <row r="3" spans="1:20" s="177" customFormat="1" ht="15" customHeight="1">
      <c r="A3" s="833" t="s">
        <v>239</v>
      </c>
      <c r="B3" s="833"/>
      <c r="C3" s="833"/>
      <c r="D3" s="833"/>
      <c r="E3" s="306"/>
      <c r="F3" s="710"/>
      <c r="G3" s="710"/>
      <c r="H3" s="710"/>
      <c r="I3" s="710"/>
      <c r="J3" s="710"/>
      <c r="K3" s="710"/>
      <c r="L3" s="710"/>
      <c r="M3" s="710"/>
      <c r="N3" s="710"/>
      <c r="O3" s="710"/>
      <c r="P3" s="307" t="s">
        <v>345</v>
      </c>
      <c r="Q3" s="307"/>
      <c r="R3" s="307"/>
      <c r="S3" s="309"/>
      <c r="T3" s="309"/>
    </row>
    <row r="4" spans="1:20" s="177" customFormat="1" ht="15.75" customHeight="1">
      <c r="A4" s="831" t="s">
        <v>320</v>
      </c>
      <c r="B4" s="831"/>
      <c r="C4" s="831"/>
      <c r="D4" s="831"/>
      <c r="E4" s="307"/>
      <c r="F4" s="710"/>
      <c r="G4" s="710"/>
      <c r="H4" s="710"/>
      <c r="I4" s="710"/>
      <c r="J4" s="710"/>
      <c r="K4" s="710"/>
      <c r="L4" s="710"/>
      <c r="M4" s="710"/>
      <c r="N4" s="710"/>
      <c r="O4" s="710"/>
      <c r="P4" s="308" t="s">
        <v>289</v>
      </c>
      <c r="Q4" s="307"/>
      <c r="R4" s="307"/>
      <c r="S4" s="309"/>
      <c r="T4" s="309"/>
    </row>
    <row r="5" spans="1:18" s="177" customFormat="1" ht="24" customHeight="1">
      <c r="A5" s="310"/>
      <c r="B5" s="310"/>
      <c r="C5" s="310"/>
      <c r="F5" s="832"/>
      <c r="G5" s="832"/>
      <c r="H5" s="832"/>
      <c r="I5" s="832"/>
      <c r="J5" s="832"/>
      <c r="K5" s="832"/>
      <c r="L5" s="832"/>
      <c r="M5" s="832"/>
      <c r="N5" s="832"/>
      <c r="O5" s="832"/>
      <c r="P5" s="311" t="s">
        <v>321</v>
      </c>
      <c r="Q5" s="312"/>
      <c r="R5" s="312"/>
    </row>
    <row r="6" spans="1:20" s="313" customFormat="1" ht="21.75" customHeight="1">
      <c r="A6" s="838" t="s">
        <v>53</v>
      </c>
      <c r="B6" s="839"/>
      <c r="C6" s="718" t="s">
        <v>31</v>
      </c>
      <c r="D6" s="702"/>
      <c r="E6" s="718" t="s">
        <v>7</v>
      </c>
      <c r="F6" s="830"/>
      <c r="G6" s="830"/>
      <c r="H6" s="830"/>
      <c r="I6" s="830"/>
      <c r="J6" s="830"/>
      <c r="K6" s="830"/>
      <c r="L6" s="830"/>
      <c r="M6" s="830"/>
      <c r="N6" s="830"/>
      <c r="O6" s="830"/>
      <c r="P6" s="830"/>
      <c r="Q6" s="830"/>
      <c r="R6" s="830"/>
      <c r="S6" s="830"/>
      <c r="T6" s="702"/>
    </row>
    <row r="7" spans="1:21" s="313" customFormat="1" ht="22.5" customHeight="1">
      <c r="A7" s="840"/>
      <c r="B7" s="841"/>
      <c r="C7" s="735" t="s">
        <v>322</v>
      </c>
      <c r="D7" s="735" t="s">
        <v>323</v>
      </c>
      <c r="E7" s="718" t="s">
        <v>202</v>
      </c>
      <c r="F7" s="834"/>
      <c r="G7" s="834"/>
      <c r="H7" s="834"/>
      <c r="I7" s="834"/>
      <c r="J7" s="834"/>
      <c r="K7" s="834"/>
      <c r="L7" s="835"/>
      <c r="M7" s="718" t="s">
        <v>324</v>
      </c>
      <c r="N7" s="830"/>
      <c r="O7" s="830"/>
      <c r="P7" s="830"/>
      <c r="Q7" s="830"/>
      <c r="R7" s="830"/>
      <c r="S7" s="830"/>
      <c r="T7" s="702"/>
      <c r="U7" s="314"/>
    </row>
    <row r="8" spans="1:20" s="313" customFormat="1" ht="42.75" customHeight="1">
      <c r="A8" s="840"/>
      <c r="B8" s="841"/>
      <c r="C8" s="736"/>
      <c r="D8" s="736"/>
      <c r="E8" s="699" t="s">
        <v>325</v>
      </c>
      <c r="F8" s="699"/>
      <c r="G8" s="718" t="s">
        <v>326</v>
      </c>
      <c r="H8" s="830"/>
      <c r="I8" s="830"/>
      <c r="J8" s="830"/>
      <c r="K8" s="830"/>
      <c r="L8" s="702"/>
      <c r="M8" s="699" t="s">
        <v>327</v>
      </c>
      <c r="N8" s="699"/>
      <c r="O8" s="718" t="s">
        <v>326</v>
      </c>
      <c r="P8" s="830"/>
      <c r="Q8" s="830"/>
      <c r="R8" s="830"/>
      <c r="S8" s="830"/>
      <c r="T8" s="702"/>
    </row>
    <row r="9" spans="1:20" s="313" customFormat="1" ht="35.25" customHeight="1">
      <c r="A9" s="840"/>
      <c r="B9" s="841"/>
      <c r="C9" s="736"/>
      <c r="D9" s="736"/>
      <c r="E9" s="735" t="s">
        <v>203</v>
      </c>
      <c r="F9" s="735" t="s">
        <v>204</v>
      </c>
      <c r="G9" s="828" t="s">
        <v>205</v>
      </c>
      <c r="H9" s="829"/>
      <c r="I9" s="828" t="s">
        <v>206</v>
      </c>
      <c r="J9" s="829"/>
      <c r="K9" s="828" t="s">
        <v>207</v>
      </c>
      <c r="L9" s="829"/>
      <c r="M9" s="735" t="s">
        <v>208</v>
      </c>
      <c r="N9" s="735" t="s">
        <v>204</v>
      </c>
      <c r="O9" s="828" t="s">
        <v>205</v>
      </c>
      <c r="P9" s="829"/>
      <c r="Q9" s="828" t="s">
        <v>209</v>
      </c>
      <c r="R9" s="829"/>
      <c r="S9" s="828" t="s">
        <v>210</v>
      </c>
      <c r="T9" s="829"/>
    </row>
    <row r="10" spans="1:20" s="313" customFormat="1" ht="25.5" customHeight="1">
      <c r="A10" s="828"/>
      <c r="B10" s="829"/>
      <c r="C10" s="737"/>
      <c r="D10" s="737"/>
      <c r="E10" s="737"/>
      <c r="F10" s="737"/>
      <c r="G10" s="215" t="s">
        <v>208</v>
      </c>
      <c r="H10" s="215" t="s">
        <v>204</v>
      </c>
      <c r="I10" s="219" t="s">
        <v>208</v>
      </c>
      <c r="J10" s="215" t="s">
        <v>204</v>
      </c>
      <c r="K10" s="219" t="s">
        <v>208</v>
      </c>
      <c r="L10" s="215" t="s">
        <v>204</v>
      </c>
      <c r="M10" s="737"/>
      <c r="N10" s="737"/>
      <c r="O10" s="215" t="s">
        <v>208</v>
      </c>
      <c r="P10" s="215" t="s">
        <v>204</v>
      </c>
      <c r="Q10" s="219" t="s">
        <v>208</v>
      </c>
      <c r="R10" s="215" t="s">
        <v>204</v>
      </c>
      <c r="S10" s="219" t="s">
        <v>208</v>
      </c>
      <c r="T10" s="215" t="s">
        <v>204</v>
      </c>
    </row>
    <row r="11" spans="1:32" s="222" customFormat="1" ht="12.75">
      <c r="A11" s="823" t="s">
        <v>6</v>
      </c>
      <c r="B11" s="824"/>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21" t="s">
        <v>309</v>
      </c>
      <c r="B12" s="822"/>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6" t="s">
        <v>285</v>
      </c>
      <c r="B13" s="82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36" t="s">
        <v>30</v>
      </c>
      <c r="B14" s="83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34" t="s">
        <v>272</v>
      </c>
      <c r="C29" s="734"/>
      <c r="D29" s="734"/>
      <c r="E29" s="734"/>
      <c r="F29" s="734"/>
      <c r="G29" s="734"/>
      <c r="H29" s="181"/>
      <c r="I29" s="181"/>
      <c r="J29" s="182"/>
      <c r="K29" s="181"/>
      <c r="L29" s="739" t="s">
        <v>272</v>
      </c>
      <c r="M29" s="739"/>
      <c r="N29" s="739"/>
      <c r="O29" s="739"/>
      <c r="P29" s="739"/>
      <c r="Q29" s="739"/>
      <c r="R29" s="739"/>
      <c r="S29" s="739"/>
      <c r="T29" s="739"/>
    </row>
    <row r="30" spans="1:20" ht="15" customHeight="1">
      <c r="A30" s="180"/>
      <c r="B30" s="724" t="s">
        <v>35</v>
      </c>
      <c r="C30" s="724"/>
      <c r="D30" s="724"/>
      <c r="E30" s="724"/>
      <c r="F30" s="724"/>
      <c r="G30" s="724"/>
      <c r="H30" s="183"/>
      <c r="I30" s="183"/>
      <c r="J30" s="183"/>
      <c r="K30" s="183"/>
      <c r="L30" s="727" t="s">
        <v>228</v>
      </c>
      <c r="M30" s="727"/>
      <c r="N30" s="727"/>
      <c r="O30" s="727"/>
      <c r="P30" s="727"/>
      <c r="Q30" s="727"/>
      <c r="R30" s="727"/>
      <c r="S30" s="727"/>
      <c r="T30" s="727"/>
    </row>
    <row r="31" spans="1:20" s="320" customFormat="1" ht="18.75">
      <c r="A31" s="318"/>
      <c r="B31" s="721"/>
      <c r="C31" s="721"/>
      <c r="D31" s="721"/>
      <c r="E31" s="721"/>
      <c r="F31" s="721"/>
      <c r="G31" s="319"/>
      <c r="H31" s="319"/>
      <c r="I31" s="319"/>
      <c r="J31" s="319"/>
      <c r="K31" s="319"/>
      <c r="L31" s="722"/>
      <c r="M31" s="722"/>
      <c r="N31" s="722"/>
      <c r="O31" s="722"/>
      <c r="P31" s="722"/>
      <c r="Q31" s="722"/>
      <c r="R31" s="722"/>
      <c r="S31" s="722"/>
      <c r="T31" s="72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5" t="s">
        <v>276</v>
      </c>
      <c r="C33" s="825"/>
      <c r="D33" s="825"/>
      <c r="E33" s="825"/>
      <c r="F33" s="825"/>
      <c r="G33" s="321"/>
      <c r="H33" s="321"/>
      <c r="I33" s="321"/>
      <c r="J33" s="321"/>
      <c r="K33" s="321"/>
      <c r="L33" s="321"/>
      <c r="M33" s="321"/>
      <c r="N33" s="321"/>
      <c r="O33" s="825" t="s">
        <v>276</v>
      </c>
      <c r="P33" s="825"/>
      <c r="Q33" s="825"/>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9" t="s">
        <v>229</v>
      </c>
      <c r="C39" s="619"/>
      <c r="D39" s="619"/>
      <c r="E39" s="619"/>
      <c r="F39" s="619"/>
      <c r="G39" s="619"/>
      <c r="H39" s="182"/>
      <c r="I39" s="182"/>
      <c r="J39" s="182"/>
      <c r="K39" s="182"/>
      <c r="L39" s="620" t="s">
        <v>230</v>
      </c>
      <c r="M39" s="620"/>
      <c r="N39" s="620"/>
      <c r="O39" s="620"/>
      <c r="P39" s="620"/>
      <c r="Q39" s="620"/>
      <c r="R39" s="620"/>
      <c r="S39" s="620"/>
      <c r="T39" s="620"/>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9:T39"/>
    <mergeCell ref="B29:G29"/>
    <mergeCell ref="A6:B10"/>
    <mergeCell ref="B39:G39"/>
    <mergeCell ref="L31:T31"/>
    <mergeCell ref="O8:T8"/>
    <mergeCell ref="E8:F8"/>
    <mergeCell ref="C6:D6"/>
    <mergeCell ref="F9:F10"/>
    <mergeCell ref="E9:E10"/>
    <mergeCell ref="A3:D3"/>
    <mergeCell ref="B31:F31"/>
    <mergeCell ref="C7:C10"/>
    <mergeCell ref="E7:L7"/>
    <mergeCell ref="A14:B14"/>
    <mergeCell ref="G9:H9"/>
    <mergeCell ref="F1:O4"/>
    <mergeCell ref="A1:D1"/>
    <mergeCell ref="A2:D2"/>
    <mergeCell ref="B30:G30"/>
    <mergeCell ref="A4:D4"/>
    <mergeCell ref="F5:O5"/>
    <mergeCell ref="M7:T7"/>
    <mergeCell ref="M8:N8"/>
    <mergeCell ref="K9:L9"/>
    <mergeCell ref="E6:T6"/>
    <mergeCell ref="S9:T9"/>
    <mergeCell ref="M9:M10"/>
    <mergeCell ref="O9:P9"/>
    <mergeCell ref="I9:J9"/>
    <mergeCell ref="D7:D10"/>
    <mergeCell ref="N9:N10"/>
    <mergeCell ref="Q9:R9"/>
    <mergeCell ref="G8:L8"/>
    <mergeCell ref="A12:B12"/>
    <mergeCell ref="A11:B11"/>
    <mergeCell ref="O33:Q33"/>
    <mergeCell ref="L29:T29"/>
    <mergeCell ref="L30:T30"/>
    <mergeCell ref="B33:F33"/>
    <mergeCell ref="A13:B1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2017-06-01T16:46:47Z</cp:lastPrinted>
  <dcterms:created xsi:type="dcterms:W3CDTF">2004-03-07T02:36:29Z</dcterms:created>
  <dcterms:modified xsi:type="dcterms:W3CDTF">2017-09-01T07:55:08Z</dcterms:modified>
  <cp:category/>
  <cp:version/>
  <cp:contentType/>
  <cp:contentStatus/>
</cp:coreProperties>
</file>